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czaks\Desktop\Aktualizacja harmongramu grudzien_24\"/>
    </mc:Choice>
  </mc:AlternateContent>
  <xr:revisionPtr revIDLastSave="0" documentId="8_{7389CE9E-75A9-4BDE-9034-14537DEECC49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Harmonogram naborów wniosków" sheetId="1" r:id="rId1"/>
    <sheet name="Monitoring" sheetId="3" state="hidden" r:id="rId2"/>
    <sheet name="lista" sheetId="2" state="hidden" r:id="rId3"/>
  </sheets>
  <externalReferences>
    <externalReference r:id="rId4"/>
  </externalReferences>
  <definedNames>
    <definedName name="_xlnm._FilterDatabase" localSheetId="0" hidden="1">'Harmonogram naborów wniosków'!#REF!</definedName>
    <definedName name="_xlnm._FilterDatabase" localSheetId="2" hidden="1">lista!$B$1:$G$111</definedName>
    <definedName name="_xlnm.Print_Area" localSheetId="0">'Harmonogram naborów wniosków'!$A$1:$O$107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7" i="1" l="1"/>
  <c r="K61" i="1"/>
  <c r="A61" i="1"/>
  <c r="B61" i="1"/>
  <c r="D61" i="1"/>
  <c r="N61" i="1" l="1"/>
  <c r="P61" i="1"/>
  <c r="P79" i="1"/>
  <c r="K57" i="1"/>
  <c r="A83" i="1"/>
  <c r="A71" i="1"/>
  <c r="A43" i="1"/>
  <c r="A18" i="1"/>
  <c r="A17" i="1"/>
  <c r="A16" i="1"/>
  <c r="P3" i="1"/>
  <c r="A102" i="1"/>
  <c r="B102" i="1"/>
  <c r="D102" i="1"/>
  <c r="K102" i="1"/>
  <c r="N102" i="1"/>
  <c r="P102" i="1"/>
  <c r="A101" i="1"/>
  <c r="B101" i="1"/>
  <c r="D101" i="1"/>
  <c r="K101" i="1"/>
  <c r="N101" i="1"/>
  <c r="A77" i="1"/>
  <c r="B77" i="1"/>
  <c r="A78" i="1"/>
  <c r="B78" i="1"/>
  <c r="K78" i="1"/>
  <c r="K77" i="1"/>
  <c r="K76" i="1"/>
  <c r="P78" i="1"/>
  <c r="P77" i="1"/>
  <c r="A56" i="1"/>
  <c r="B56" i="1"/>
  <c r="D56" i="1"/>
  <c r="N56" i="1"/>
  <c r="P56" i="1"/>
  <c r="A49" i="1"/>
  <c r="B49" i="1"/>
  <c r="D49" i="1"/>
  <c r="K49" i="1"/>
  <c r="N49" i="1"/>
  <c r="P49" i="1"/>
  <c r="A48" i="1"/>
  <c r="B48" i="1"/>
  <c r="D48" i="1"/>
  <c r="K48" i="1"/>
  <c r="N48" i="1"/>
  <c r="K31" i="1"/>
  <c r="D27" i="1"/>
  <c r="A94" i="1"/>
  <c r="B94" i="1"/>
  <c r="D94" i="1"/>
  <c r="K94" i="1"/>
  <c r="N94" i="1"/>
  <c r="K69" i="1"/>
  <c r="P87" i="1"/>
  <c r="N87" i="1"/>
  <c r="D87" i="1"/>
  <c r="B87" i="1"/>
  <c r="A87" i="1"/>
  <c r="P88" i="1"/>
  <c r="N88" i="1"/>
  <c r="K88" i="1"/>
  <c r="D88" i="1"/>
  <c r="B88" i="1"/>
  <c r="A88" i="1"/>
  <c r="P28" i="1"/>
  <c r="N28" i="1"/>
  <c r="K28" i="1"/>
  <c r="D28" i="1"/>
  <c r="B28" i="1"/>
  <c r="A28" i="1"/>
  <c r="E16" i="3"/>
  <c r="C16" i="3"/>
  <c r="E15" i="3"/>
  <c r="D15" i="3"/>
  <c r="C15" i="3"/>
  <c r="E14" i="3"/>
  <c r="D14" i="3"/>
  <c r="C14" i="3"/>
  <c r="C13" i="3"/>
  <c r="E12" i="3"/>
  <c r="C12" i="3"/>
  <c r="E11" i="3"/>
  <c r="C11" i="3"/>
  <c r="E10" i="3"/>
  <c r="C10" i="3"/>
  <c r="E9" i="3"/>
  <c r="C9" i="3"/>
  <c r="C8" i="3"/>
  <c r="E7" i="3"/>
  <c r="D7" i="3"/>
  <c r="C7" i="3"/>
  <c r="E6" i="3"/>
  <c r="C6" i="3"/>
  <c r="C5" i="3"/>
  <c r="E4" i="3"/>
  <c r="C4" i="3"/>
  <c r="P24" i="1"/>
  <c r="N24" i="1"/>
  <c r="K24" i="1"/>
  <c r="D24" i="1"/>
  <c r="B24" i="1"/>
  <c r="A24" i="1"/>
  <c r="J22" i="1"/>
  <c r="J21" i="1"/>
  <c r="B21" i="1"/>
  <c r="B22" i="1"/>
  <c r="A22" i="1"/>
  <c r="A21" i="1"/>
  <c r="P21" i="1"/>
  <c r="N21" i="1"/>
  <c r="D21" i="1"/>
  <c r="P22" i="1"/>
  <c r="N22" i="1"/>
  <c r="D22" i="1"/>
  <c r="B13" i="1"/>
  <c r="A13" i="1"/>
  <c r="D13" i="1"/>
  <c r="K13" i="1"/>
  <c r="N13" i="1"/>
  <c r="P13" i="1"/>
  <c r="A14" i="1"/>
  <c r="B14" i="1"/>
  <c r="D14" i="1"/>
  <c r="N14" i="1"/>
  <c r="P14" i="1"/>
  <c r="A15" i="1"/>
  <c r="B15" i="1"/>
  <c r="D15" i="1"/>
  <c r="K15" i="1"/>
  <c r="N15" i="1"/>
  <c r="P15" i="1"/>
  <c r="A8" i="1"/>
  <c r="B8" i="1"/>
  <c r="D8" i="1"/>
  <c r="K8" i="1"/>
  <c r="N8" i="1"/>
  <c r="A9" i="1"/>
  <c r="B9" i="1"/>
  <c r="D9" i="1"/>
  <c r="K9" i="1"/>
  <c r="N9" i="1"/>
  <c r="A10" i="1"/>
  <c r="B10" i="1"/>
  <c r="D10" i="1"/>
  <c r="K10" i="1"/>
  <c r="N10" i="1"/>
  <c r="A11" i="1"/>
  <c r="B11" i="1"/>
  <c r="D11" i="1"/>
  <c r="K11" i="1"/>
  <c r="N11" i="1"/>
  <c r="A7" i="1"/>
  <c r="B7" i="1"/>
  <c r="D7" i="1"/>
  <c r="K7" i="1"/>
  <c r="N7" i="1"/>
  <c r="P7" i="1"/>
  <c r="A6" i="1"/>
  <c r="B6" i="1"/>
  <c r="D6" i="1"/>
  <c r="K6" i="1"/>
  <c r="N6" i="1"/>
  <c r="P6" i="1"/>
  <c r="D73" i="1"/>
  <c r="D69" i="1"/>
  <c r="D64" i="1"/>
  <c r="K64" i="1"/>
  <c r="A64" i="1"/>
  <c r="B64" i="1"/>
  <c r="N64" i="1"/>
  <c r="P64" i="1"/>
  <c r="K100" i="1" l="1"/>
  <c r="A100" i="1"/>
  <c r="B100" i="1"/>
  <c r="D100" i="1"/>
  <c r="N100" i="1"/>
  <c r="P100" i="1"/>
  <c r="P35" i="1"/>
  <c r="N35" i="1"/>
  <c r="K35" i="1"/>
  <c r="D35" i="1"/>
  <c r="B35" i="1"/>
  <c r="A35" i="1"/>
  <c r="P74" i="1"/>
  <c r="N74" i="1"/>
  <c r="K74" i="1"/>
  <c r="D74" i="1"/>
  <c r="B74" i="1"/>
  <c r="A74" i="1"/>
  <c r="P73" i="1"/>
  <c r="N73" i="1"/>
  <c r="K73" i="1"/>
  <c r="B73" i="1"/>
  <c r="A73" i="1"/>
  <c r="K70" i="1"/>
  <c r="A70" i="1"/>
  <c r="B70" i="1"/>
  <c r="D70" i="1"/>
  <c r="N70" i="1"/>
  <c r="B68" i="1"/>
  <c r="A69" i="1"/>
  <c r="B69" i="1"/>
  <c r="N69" i="1"/>
  <c r="P34" i="1"/>
  <c r="N34" i="1"/>
  <c r="K34" i="1"/>
  <c r="D34" i="1"/>
  <c r="B34" i="1"/>
  <c r="A34" i="1"/>
  <c r="P5" i="1" l="1"/>
  <c r="P12" i="1"/>
  <c r="P16" i="1"/>
  <c r="P17" i="1"/>
  <c r="P18" i="1"/>
  <c r="P19" i="1"/>
  <c r="P20" i="1"/>
  <c r="P23" i="1"/>
  <c r="P25" i="1"/>
  <c r="P26" i="1"/>
  <c r="P27" i="1"/>
  <c r="P30" i="1"/>
  <c r="P31" i="1"/>
  <c r="P32" i="1"/>
  <c r="P33" i="1"/>
  <c r="P36" i="1"/>
  <c r="P39" i="1"/>
  <c r="P40" i="1"/>
  <c r="P41" i="1"/>
  <c r="P44" i="1"/>
  <c r="P45" i="1"/>
  <c r="P47" i="1"/>
  <c r="P50" i="1"/>
  <c r="P51" i="1"/>
  <c r="P52" i="1"/>
  <c r="P53" i="1"/>
  <c r="P55" i="1"/>
  <c r="P58" i="1"/>
  <c r="P59" i="1"/>
  <c r="P60" i="1"/>
  <c r="P72" i="1"/>
  <c r="P76" i="1"/>
  <c r="P80" i="1"/>
  <c r="P81" i="1"/>
  <c r="P82" i="1"/>
  <c r="P83" i="1"/>
  <c r="P84" i="1"/>
  <c r="P85" i="1"/>
  <c r="P86" i="1"/>
  <c r="P89" i="1"/>
  <c r="P90" i="1"/>
  <c r="P92" i="1"/>
  <c r="P93" i="1"/>
  <c r="P97" i="1"/>
  <c r="P98" i="1"/>
  <c r="P103" i="1"/>
  <c r="P104" i="1"/>
  <c r="K20" i="1"/>
  <c r="K25" i="1"/>
  <c r="K96" i="1"/>
  <c r="B65" i="1"/>
  <c r="B66" i="1"/>
  <c r="N63" i="1"/>
  <c r="K63" i="1"/>
  <c r="N65" i="1"/>
  <c r="K65" i="1"/>
  <c r="D65" i="1"/>
  <c r="A65" i="1"/>
  <c r="D39" i="1"/>
  <c r="A39" i="1"/>
  <c r="D83" i="1"/>
  <c r="K83" i="1"/>
  <c r="N83" i="1"/>
  <c r="N82" i="1"/>
  <c r="K82" i="1"/>
  <c r="D82" i="1"/>
  <c r="B82" i="1"/>
  <c r="A82" i="1"/>
  <c r="N81" i="1"/>
  <c r="K81" i="1"/>
  <c r="D81" i="1"/>
  <c r="B81" i="1"/>
  <c r="A81" i="1"/>
  <c r="K99" i="1"/>
  <c r="A99" i="1"/>
  <c r="D99" i="1"/>
  <c r="N99" i="1"/>
  <c r="J45" i="1"/>
  <c r="K45" i="1" s="1"/>
  <c r="D71" i="1"/>
  <c r="D68" i="1"/>
  <c r="B71" i="1"/>
  <c r="K71" i="1"/>
  <c r="N71" i="1"/>
  <c r="N32" i="1"/>
  <c r="K32" i="1"/>
  <c r="D32" i="1"/>
  <c r="B32" i="1"/>
  <c r="A32" i="1"/>
  <c r="D16" i="3"/>
  <c r="A33" i="1"/>
  <c r="B33" i="1"/>
  <c r="D33" i="1"/>
  <c r="K33" i="1"/>
  <c r="N33" i="1"/>
  <c r="B42" i="1"/>
  <c r="N43" i="1"/>
  <c r="K43" i="1"/>
  <c r="D43" i="1"/>
  <c r="B43" i="1"/>
  <c r="A31" i="1"/>
  <c r="B31" i="1"/>
  <c r="D31" i="1"/>
  <c r="N31" i="1"/>
  <c r="K66" i="1"/>
  <c r="A51" i="1"/>
  <c r="B51" i="1"/>
  <c r="D51" i="1"/>
  <c r="K51" i="1"/>
  <c r="N51" i="1"/>
  <c r="A45" i="1"/>
  <c r="B45" i="1"/>
  <c r="D45" i="1"/>
  <c r="N45" i="1"/>
  <c r="B39" i="1"/>
  <c r="K39" i="1"/>
  <c r="N39" i="1"/>
  <c r="K41" i="1"/>
  <c r="A53" i="1"/>
  <c r="B53" i="1"/>
  <c r="D53" i="1"/>
  <c r="K53" i="1"/>
  <c r="N53" i="1"/>
  <c r="A66" i="1"/>
  <c r="D66" i="1"/>
  <c r="N66" i="1"/>
  <c r="A63" i="1"/>
  <c r="D63" i="1"/>
  <c r="K17" i="1"/>
  <c r="K18" i="1"/>
  <c r="K12" i="1"/>
  <c r="K16" i="1"/>
  <c r="N79" i="1"/>
  <c r="K79" i="1"/>
  <c r="D79" i="1"/>
  <c r="B79" i="1"/>
  <c r="A79" i="1"/>
  <c r="N76" i="1"/>
  <c r="D76" i="1"/>
  <c r="B76" i="1"/>
  <c r="A76" i="1"/>
  <c r="K60" i="1"/>
  <c r="A60" i="1"/>
  <c r="B60" i="1"/>
  <c r="D60" i="1"/>
  <c r="N60" i="1"/>
  <c r="A57" i="1"/>
  <c r="B57" i="1"/>
  <c r="D57" i="1"/>
  <c r="N57" i="1"/>
  <c r="B97" i="1"/>
  <c r="A97" i="1"/>
  <c r="D97" i="1"/>
  <c r="N97" i="1"/>
  <c r="D89" i="1"/>
  <c r="D5" i="1"/>
  <c r="A96" i="1"/>
  <c r="B96" i="1"/>
  <c r="D96" i="1"/>
  <c r="N96" i="1"/>
  <c r="J86" i="1"/>
  <c r="C33" i="3" l="1"/>
  <c r="D11" i="3"/>
  <c r="C35" i="3"/>
  <c r="C34" i="3"/>
  <c r="C17" i="3"/>
  <c r="A20" i="1"/>
  <c r="B20" i="1"/>
  <c r="D20" i="1"/>
  <c r="N20" i="1"/>
  <c r="J90" i="1"/>
  <c r="K90" i="1" s="1"/>
  <c r="J89" i="1"/>
  <c r="J85" i="1"/>
  <c r="K85" i="1" s="1"/>
  <c r="J84" i="1"/>
  <c r="J27" i="1"/>
  <c r="J26" i="1"/>
  <c r="K26" i="1" s="1"/>
  <c r="J19" i="1"/>
  <c r="A68" i="1"/>
  <c r="K68" i="1"/>
  <c r="A95" i="1"/>
  <c r="B95" i="1"/>
  <c r="D95" i="1"/>
  <c r="K95" i="1"/>
  <c r="N95" i="1"/>
  <c r="A93" i="1"/>
  <c r="B93" i="1"/>
  <c r="D93" i="1"/>
  <c r="K93" i="1"/>
  <c r="N93" i="1"/>
  <c r="C36" i="3" l="1"/>
  <c r="K84" i="1"/>
  <c r="K19" i="1"/>
  <c r="K27" i="1"/>
  <c r="K89" i="1"/>
  <c r="A50" i="1"/>
  <c r="B50" i="1"/>
  <c r="D50" i="1"/>
  <c r="K50" i="1"/>
  <c r="N50" i="1"/>
  <c r="N47" i="1"/>
  <c r="K47" i="1"/>
  <c r="A47" i="1"/>
  <c r="B47" i="1"/>
  <c r="D47" i="1"/>
  <c r="A44" i="1"/>
  <c r="B44" i="1"/>
  <c r="D44" i="1"/>
  <c r="K44" i="1"/>
  <c r="N44" i="1"/>
  <c r="K86" i="1"/>
  <c r="A89" i="1"/>
  <c r="A90" i="1"/>
  <c r="B89" i="1"/>
  <c r="B90" i="1"/>
  <c r="D90" i="1"/>
  <c r="N89" i="1"/>
  <c r="N90" i="1"/>
  <c r="A91" i="1"/>
  <c r="B91" i="1"/>
  <c r="D91" i="1"/>
  <c r="N91" i="1"/>
  <c r="D26" i="1"/>
  <c r="D25" i="1"/>
  <c r="A25" i="1"/>
  <c r="B25" i="1"/>
  <c r="N25" i="1"/>
  <c r="A26" i="1"/>
  <c r="B26" i="1"/>
  <c r="N26" i="1"/>
  <c r="A27" i="1"/>
  <c r="B27" i="1"/>
  <c r="N27" i="1"/>
  <c r="N92" i="1"/>
  <c r="K92" i="1"/>
  <c r="D92" i="1"/>
  <c r="B92" i="1"/>
  <c r="A92" i="1"/>
  <c r="A84" i="1"/>
  <c r="B84" i="1"/>
  <c r="D84" i="1"/>
  <c r="N84" i="1"/>
  <c r="A85" i="1"/>
  <c r="B85" i="1"/>
  <c r="D85" i="1"/>
  <c r="N85" i="1"/>
  <c r="A86" i="1"/>
  <c r="B86" i="1"/>
  <c r="D86" i="1"/>
  <c r="N86" i="1"/>
  <c r="N80" i="1"/>
  <c r="K80" i="1"/>
  <c r="D80" i="1"/>
  <c r="B80" i="1"/>
  <c r="A80" i="1"/>
  <c r="D12" i="1"/>
  <c r="N12" i="1"/>
  <c r="B12" i="1"/>
  <c r="A12" i="1"/>
  <c r="A19" i="1"/>
  <c r="B19" i="1"/>
  <c r="D19" i="1"/>
  <c r="N19" i="1"/>
  <c r="A23" i="1"/>
  <c r="B23" i="1"/>
  <c r="D23" i="1"/>
  <c r="N23" i="1"/>
  <c r="A5" i="1"/>
  <c r="B5" i="1"/>
  <c r="K5" i="1"/>
  <c r="N5" i="1"/>
  <c r="A58" i="1"/>
  <c r="B58" i="1"/>
  <c r="D58" i="1"/>
  <c r="K58" i="1"/>
  <c r="N58" i="1"/>
  <c r="A59" i="1"/>
  <c r="B59" i="1"/>
  <c r="D59" i="1"/>
  <c r="K59" i="1"/>
  <c r="N59" i="1"/>
  <c r="K55" i="1"/>
  <c r="A55" i="1"/>
  <c r="B55" i="1"/>
  <c r="D55" i="1"/>
  <c r="N55" i="1"/>
  <c r="B3" i="1"/>
  <c r="E5" i="3" l="1"/>
  <c r="D5" i="3"/>
  <c r="N52" i="1"/>
  <c r="K52" i="1"/>
  <c r="D52" i="1"/>
  <c r="B52" i="1"/>
  <c r="A52" i="1"/>
  <c r="N36" i="1"/>
  <c r="K36" i="1"/>
  <c r="D36" i="1"/>
  <c r="B36" i="1"/>
  <c r="A36" i="1"/>
  <c r="N30" i="1"/>
  <c r="K30" i="1"/>
  <c r="D30" i="1"/>
  <c r="B30" i="1"/>
  <c r="A30" i="1"/>
  <c r="A104" i="1"/>
  <c r="B104" i="1"/>
  <c r="D104" i="1"/>
  <c r="K104" i="1"/>
  <c r="N104" i="1"/>
  <c r="A103" i="1"/>
  <c r="B103" i="1"/>
  <c r="D103" i="1"/>
  <c r="K103" i="1"/>
  <c r="N103" i="1"/>
  <c r="A40" i="1"/>
  <c r="B40" i="1"/>
  <c r="D40" i="1"/>
  <c r="K40" i="1"/>
  <c r="N40" i="1"/>
  <c r="D6" i="3" l="1"/>
  <c r="E8" i="3"/>
  <c r="E33" i="3"/>
  <c r="N98" i="1"/>
  <c r="K98" i="1"/>
  <c r="D98" i="1"/>
  <c r="B98" i="1"/>
  <c r="A98" i="1"/>
  <c r="D10" i="3"/>
  <c r="D9" i="3"/>
  <c r="A41" i="1"/>
  <c r="B41" i="1"/>
  <c r="D41" i="1"/>
  <c r="K3" i="1" l="1"/>
  <c r="K42" i="1"/>
  <c r="K72" i="1"/>
  <c r="D12" i="3" s="1"/>
  <c r="D8" i="3" l="1"/>
  <c r="D33" i="3"/>
  <c r="D4" i="3"/>
  <c r="N3" i="1" l="1"/>
  <c r="N42" i="1"/>
  <c r="N72" i="1"/>
  <c r="D3" i="1"/>
  <c r="D42" i="1"/>
  <c r="D72" i="1"/>
  <c r="B72" i="1"/>
  <c r="A3" i="1"/>
  <c r="A42" i="1"/>
  <c r="A72" i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9" i="2"/>
  <c r="G110" i="2"/>
  <c r="G111" i="2"/>
  <c r="E27" i="3" l="1"/>
  <c r="D27" i="3"/>
  <c r="C27" i="3"/>
  <c r="E26" i="3"/>
  <c r="D26" i="3"/>
  <c r="C26" i="3"/>
  <c r="E25" i="3"/>
  <c r="D25" i="3"/>
  <c r="C25" i="3"/>
  <c r="E24" i="3"/>
  <c r="D24" i="3"/>
  <c r="C24" i="3"/>
  <c r="C23" i="3"/>
  <c r="D35" i="3"/>
  <c r="J87" i="1"/>
  <c r="E34" i="3" s="1"/>
  <c r="C28" i="3" l="1"/>
  <c r="E35" i="3"/>
  <c r="E36" i="3" s="1"/>
  <c r="E23" i="3"/>
  <c r="E28" i="3" s="1"/>
  <c r="E13" i="3"/>
  <c r="E17" i="3" s="1"/>
  <c r="K91" i="1"/>
  <c r="D23" i="3" l="1"/>
  <c r="D28" i="3" s="1"/>
  <c r="D34" i="3"/>
  <c r="D36" i="3" s="1"/>
  <c r="D13" i="3"/>
  <c r="D17" i="3" s="1"/>
</calcChain>
</file>

<file path=xl/sharedStrings.xml><?xml version="1.0" encoding="utf-8"?>
<sst xmlns="http://schemas.openxmlformats.org/spreadsheetml/2006/main" count="1232" uniqueCount="522">
  <si>
    <t>CS</t>
  </si>
  <si>
    <t>NAZWA CELU SZCZEGÓŁOWEGO</t>
  </si>
  <si>
    <t>NR DZIAŁANIA</t>
  </si>
  <si>
    <t>NAZWA DZIAŁANIA</t>
  </si>
  <si>
    <t>TYTUŁ NABORU</t>
  </si>
  <si>
    <t xml:space="preserve"> TERMIN ROZPOCZĘCIA NABORU</t>
  </si>
  <si>
    <t xml:space="preserve"> TERMIN ZAKOŃCZENIA NABORU </t>
  </si>
  <si>
    <t>TYP PROJEKTÓW</t>
  </si>
  <si>
    <t>WNIOSKODAWCA</t>
  </si>
  <si>
    <t>KWOTA PRZEZNACZONA NA DOFINANSOWANIE PROJEKTÓW [PLN]</t>
  </si>
  <si>
    <t>KWOTA PRZEZNACZONA NA DOFINANSOWANIE PROJEKTÓW [EUR]</t>
  </si>
  <si>
    <t>SPOSÓB WYBORU</t>
  </si>
  <si>
    <t>OBSZAR GEOGRAFICZNY</t>
  </si>
  <si>
    <t>INSTYTUCJA OGŁASZAJĄCA NABÓR</t>
  </si>
  <si>
    <t>DODATKOWE INFORMACJE</t>
  </si>
  <si>
    <t>Kolumna1</t>
  </si>
  <si>
    <t>I. FUNDUSZE EUROPEJSKIE NA INTELIGENTNY ROZWÓJ</t>
  </si>
  <si>
    <t>01.02</t>
  </si>
  <si>
    <t>4. Wdrożenie wyników prac B+R</t>
  </si>
  <si>
    <t>przedsiębiorstwa</t>
  </si>
  <si>
    <t>konkurencyjny</t>
  </si>
  <si>
    <t>województwo śląskie</t>
  </si>
  <si>
    <t>Wsparcie udzielane będzie dużym, średnim, małym i mikro przedsiębiorstwom na rzecz wdrożenia wyników prac B+R. W ramach naboru przewiduje się  udzielenie wsparcia na wdrożenie wyników prac B+R własnych lub nabytych (Wnioskodawca będzie zobowiązany do potwierdzenia faktu przeprowadzenia całości prac B+R przez złożeniem wniosku). Projekty będą musiały wpisywać się co najmniej w jedną z regionalnych inteligentnych specjalizacji województwa śląskiego, tj. energetykę, ICT, medycynę, zieloną gospodarkę lub przemysły wschodzące. Wsparcie udzielane będzie na nabycie aktywów trwałych oraz wartości niematerialnych i prawnych. Dodatkowo przewiduje się wsparcie szkoleń pracowników. Minimalna wartość dofinansowania, o którą będą musieli ubiegać się Wnioskodawcy wynosi 500 000,00 PLN. Jest to wartość obowiązująca do etapu podpisania umowy włącznie. Wsparcie będzie miało charakter dotacji warunkowej.</t>
  </si>
  <si>
    <t>II. FUNDUSZE EUROPEJSKIE NA ZIELONY ROZWÓJ</t>
  </si>
  <si>
    <t>02.01</t>
  </si>
  <si>
    <t>LGD</t>
  </si>
  <si>
    <t>1. Modernizacja energetyczna budynków użyteczności publicznej, w tym budynków zabytkowych.
2. Działania edukacyjne związane z poprawą efektywności energetycznej.</t>
  </si>
  <si>
    <t xml:space="preserve">Administracja publiczna, Instytucje nauki i edukacji, Instytucje ochrony zdrowia, Organizacje społeczne i związki wyznaniowe, Partnerstwa, Partnerzy społeczni, Przedsiębiorstwa realizujące cele publiczne, Służby publiczne
</t>
  </si>
  <si>
    <t>02.02</t>
  </si>
  <si>
    <t xml:space="preserve">ZIT Centralny </t>
  </si>
  <si>
    <t>Administracja publiczna, 
Służby publiczne, 
Partnerstwa,
Organizacje społeczne i związki wyznaniowe,
Przedsiębiorstwa realizujące cele publiczne,
Instytucje ochrony zdrowia,
Instytucje nauki i edukacji</t>
  </si>
  <si>
    <t>subregion centralny</t>
  </si>
  <si>
    <t xml:space="preserve">ZIT Południowy </t>
  </si>
  <si>
    <t>subregion południowy</t>
  </si>
  <si>
    <t>02.04</t>
  </si>
  <si>
    <t>ZIT Centralny</t>
  </si>
  <si>
    <t>IV kwartał 2025</t>
  </si>
  <si>
    <t>I kwartał 2026</t>
  </si>
  <si>
    <t>1. Modernizacja energetyczna wielorodzinnych budynków komunalnych, w tym budynków zabytkowych.
2. Działania edukacyjne związane z poprawą efektywności energetycznej.</t>
  </si>
  <si>
    <t>Jednostki Samorządu Terytorialnego,
Jednostki organizacyjne działające w imieniu jednostek samorządu terytorialnego, 
Partnerstwa Publiczno-Prywatne, 
Podmioty świadczące usługi publiczne w ramach realizacji obowiązków własnych jednostek samorządu terytorialnego, Zintegrowane InwestycjeTerytorialne (ZIT)</t>
  </si>
  <si>
    <t>ZIT Południowy</t>
  </si>
  <si>
    <t>ZIT Północny</t>
  </si>
  <si>
    <t>subregion północny</t>
  </si>
  <si>
    <t>ZIT Zachodni</t>
  </si>
  <si>
    <t>subregion zachodni</t>
  </si>
  <si>
    <t>02.06</t>
  </si>
  <si>
    <t>1. Magazyny energii elektrycznej i cieplnej, na potrzeby istniejącej instalacji OZE (projekty inne niż parasolowe i grantowe). 
2. Magazyny energii elektrycznej i cieplnej, na potrzeby istniejącej instalacji OZE (projekty parasolowe i grantowe).</t>
  </si>
  <si>
    <t>02.08</t>
  </si>
  <si>
    <t xml:space="preserve">OSI </t>
  </si>
  <si>
    <t>1. Adaptacja do zmian klimatu
3. Przeciwdziałanie skutkom suszy</t>
  </si>
  <si>
    <t>Administracja publiczna</t>
  </si>
  <si>
    <t>Nabór dla obszarów strategicznej interwencji o znaczeniu krajowym, wskazanych w
Krajowej Strategii Rozwoju Regionalnego-  pulę środków OSI dedykuje się dla:
miast średnich tracących funkcje społeczno-gospodarcze, tj. Jastrzębie-Zdrój.
oraz obszarów zagrożonych trwałą marginalizacją, tj. Koniecpol, Irządze, Rajcza.</t>
  </si>
  <si>
    <t>Administracja publiczna, Organizacje społeczne i związki wyznaniowe, Partnerstwa, Przedsiębiorstwa,
Służby publiczne</t>
  </si>
  <si>
    <t>02.09</t>
  </si>
  <si>
    <t>Wspieranie dostępu do wody oraz zrównoważonej gospodarki wodnej</t>
  </si>
  <si>
    <t>02.11</t>
  </si>
  <si>
    <t>Infrastruktura wodno-kanalizacyjna</t>
  </si>
  <si>
    <t>1. Budowa i modernizacja sieci kanalizacji dla ścieków komunalnych, w tym kanalizacji deszczowej;
2. Budowa i modernizacja oczyszczalni ścieków komunalnych;
3. Budowa i modernizacja instalacji do zagospodarowania komunalnych osadów ściekowych;
4. Budowa i modernizacja systemów zaopatrzenia w wodę.
dla aglomeracji z przedziału od 2 tyś. RLM do poniżej 10 tyś. RLM</t>
  </si>
  <si>
    <t xml:space="preserve">Administracja publiczna
Przedsiębiorstwa 
Przedsiębiorstwa realizujące cele publiczne
Partnerstwa
Służby publiczne
Organizacje społeczne i związki wyznaniowe
</t>
  </si>
  <si>
    <t>województwo śląskie (koperta regionalna)</t>
  </si>
  <si>
    <t>Departament Europejskiego Funduszu Rozwoju Regionalnego</t>
  </si>
  <si>
    <t>województwo śląskie (koperta dla Subregionu Północnego)</t>
  </si>
  <si>
    <t>4. Budowa i modernizacja systemów zaopatrzenia w wodę.
samodzielne projekty wodne dla gmin do 15 tys. mieszkańców - dla całości województwa</t>
  </si>
  <si>
    <t>02.12</t>
  </si>
  <si>
    <t>2. Punkty selektywnej zbiórki odpadów komunalnych (PSZOK).</t>
  </si>
  <si>
    <t>Służby publiczne, 
Administracja publiczna, 
Przedsiębiorstwa, 
Partnerstwa</t>
  </si>
  <si>
    <t>31.03.2025</t>
  </si>
  <si>
    <t xml:space="preserve">
1. Budowa/rozwój/modernizacja zakładów odzysku i unieszkodliwiania odpadów</t>
  </si>
  <si>
    <t>Służby publiczne, Administracja publiczna, Przedsiębiorstwa, Partnerstwa</t>
  </si>
  <si>
    <t>niekonkurencyjny</t>
  </si>
  <si>
    <t>02.14</t>
  </si>
  <si>
    <t xml:space="preserve">1. Ochrona i regeneracja obszarów chronionych wraz z kampanią informacyjno-edukacyjną zwiększającą poziom świadomości ekologicznej.  
2. Ochrona różnorodności biologicznej wraz z kampanią informacyjno-edukacyjną zwiększającą poziom świadomości ekologicznej. </t>
  </si>
  <si>
    <t xml:space="preserve">Partnerstwa, 
Przedsiębiorstwa, 
Organizacje społeczne i związki wyznaniowe, 
Administracja publiczna </t>
  </si>
  <si>
    <t>OSI
Subregion Centralny</t>
  </si>
  <si>
    <t>województwo śląskie (podregiony: gliwicki, sosnowiecki)</t>
  </si>
  <si>
    <t>02.15</t>
  </si>
  <si>
    <t>28.02.2025</t>
  </si>
  <si>
    <t>02.16</t>
  </si>
  <si>
    <t>OSI</t>
  </si>
  <si>
    <t>1. Rekultywacja terenów zdegradowanych wraz z kampanią informacyjno-edukacyjną zwiększającą
świadomość ekologiczną.</t>
  </si>
  <si>
    <t>Administracja publiczna, Organizacje społeczne i związki wyznaniowe, Partnerstwa, Przedsiębiorstwa,
Przedsiębiorstwa realizujące cele publiczne</t>
  </si>
  <si>
    <t>OSI - nabór dedykowany dla gmin: Zawiercie, Koniecpol</t>
  </si>
  <si>
    <t xml:space="preserve">III FUNDUSZE EUROPEJSKIE DLA ZRÓWNOWAŻONEJ MOBILNOŚCI										</t>
  </si>
  <si>
    <t>03.01</t>
  </si>
  <si>
    <t xml:space="preserve">Zakup taboru autobusowego/trolejbusowego </t>
  </si>
  <si>
    <t>Administracja publiczna, Przedsiębiorstwa realizujące cele publiczne</t>
  </si>
  <si>
    <t>Zakup taboru autobusowego/trolejbusowego</t>
  </si>
  <si>
    <t>03.02</t>
  </si>
  <si>
    <t>30.09.2025</t>
  </si>
  <si>
    <t xml:space="preserve">1. Budowa, przebudowa, rozbudowa infrastruktury związanej ze zrównoważoną mobilnością miejską (centra przesiadkowe wraz z infrastrukturą towarzyszącą). 
2. Inteligentne systemy transportowe (ITS) dla rozwoju zrównoważonego transportu miejskiego.  </t>
  </si>
  <si>
    <t xml:space="preserve">Administracja publiczna </t>
  </si>
  <si>
    <t xml:space="preserve">Zit Południowy </t>
  </si>
  <si>
    <t>03.03</t>
  </si>
  <si>
    <t>Budowa/ przebudowa sieci regionalnych tras rowerowych.</t>
  </si>
  <si>
    <t xml:space="preserve">Administracja publiczna, Zintegrowane Inwestycje Terytorialne (ZIT), Organizacje społeczne i związki wyznaniowe </t>
  </si>
  <si>
    <t xml:space="preserve">IV FUNDUSZE EUROPEJSKIE DLA SPRAWNEGO TRANSPORTU										</t>
  </si>
  <si>
    <t>V FUNDUSZE EUROPEJSKIE DLA RYNKU PRACY</t>
  </si>
  <si>
    <t>05.02</t>
  </si>
  <si>
    <t>Aktywni z OHP</t>
  </si>
  <si>
    <t>Projekty z zakresu kompleksowego wsparcia, w ramach których są realizowane instrumenty i usługi rynku pracy wskazane w ustawie właściwej regulującej politykę rynku pracy, dotyczące głównych zadań Ochotniczych Hufców Pracy.</t>
  </si>
  <si>
    <t>Ochotniczy Hufiec Pracy</t>
  </si>
  <si>
    <t>05.03</t>
  </si>
  <si>
    <t>Projekty w ramach Inicjatywy ALMA</t>
  </si>
  <si>
    <t>Wszystkie podmioty – z wyłączeniem osób fizycznych (nie dotyczy osób prowadzących działalność gospodarczą lub oświatową na podstawie przepisów odrębnych)</t>
  </si>
  <si>
    <t>05.06</t>
  </si>
  <si>
    <t>2025-0915</t>
  </si>
  <si>
    <t>Typ 2: wsparcie dla partnerów społecznych, o których mowa w art. 8 Rozporządzenia 2021/1060, tj. instytucji i podmiotów dialogu obywatelskiego - organizacji reprezentujących interesy pracowników i pracodawców</t>
  </si>
  <si>
    <t>województwo śląśkie</t>
  </si>
  <si>
    <t>Wojewódzki Urząd Pracy</t>
  </si>
  <si>
    <t>05.12</t>
  </si>
  <si>
    <t>Wdrażanie programów rehabilitacji medycznej ułatwiających powrót do pracy bądź utrzymanie zatrudnienia</t>
  </si>
  <si>
    <t>Wszystkie podmioty (z wyłączeniem osób fizycznych, nie dotyczy osób prowadzących działalność gospodarczą lub oświatową na podstawie przepisów odrębnych) - typy beneficjentów zostaną doprecyzowane w SZOP</t>
  </si>
  <si>
    <t>05.13</t>
  </si>
  <si>
    <t>1. Eliminowanie zdrowotnych czynników ryzyka w miejscu pracy</t>
  </si>
  <si>
    <t>05.14</t>
  </si>
  <si>
    <t>Szkolenia i studia podyplomowe dla pracowników gminnych i powiatowych jednostek samorządu terytorialnego, w tym pracowników Związku ZIT oraz dla pracowników Związku Metropolitarnego w województwie śląskim (GZM), zmierzające do nabycia kwalifikacji lub nabycia/podniesienia kompetencji, w szczególności cyfrowych lub zielonych niezbędnych do wykorzystania w ramach posiadanych kompetencji w celu usprawnienia i poprawy jakości świadczonych usług publicznych i współpracy z klientem zewnętrznym.</t>
  </si>
  <si>
    <t>subregion centralny, subregion południowy, subregion północny, subregion zachodni</t>
  </si>
  <si>
    <t>VI FUNDUSZE EUROPEJSKIE DLA EDUKACJI</t>
  </si>
  <si>
    <t>06.01</t>
  </si>
  <si>
    <t>1. Wsparcie edukacji przedszkolnej poprzez organizację zajęć dodatkowych, edukację włączającą oraz doposażenie</t>
  </si>
  <si>
    <t>06.02</t>
  </si>
  <si>
    <t>TYP 2: Edukacja włączająca w kształceniu ogólnym</t>
  </si>
  <si>
    <t>06.04</t>
  </si>
  <si>
    <t>TYP 1: Wsparcie stypendialne uczniów</t>
  </si>
  <si>
    <t>Samorząd Województwa</t>
  </si>
  <si>
    <t>06.05</t>
  </si>
  <si>
    <t>Działania na rzecz edukacji pozaformalnej dzieci i młodzieży na terenie objętym LSR</t>
  </si>
  <si>
    <t>Lokalne Grupy Działania</t>
  </si>
  <si>
    <t>06.06</t>
  </si>
  <si>
    <t>typ 2 Wsparcie osób pracujących w systemie ochrony zdrowia (kadry medyczne, okołomedyczne,
niemedyczne), w tym w zawodach istotnych z punktu widzenia funkcjonowania systemu, które z własnej
inicjatywy chcą podnieść swoje umiejętności/kompetencje lub nabyć nowe kwalifikacje</t>
  </si>
  <si>
    <t>06.07</t>
  </si>
  <si>
    <t>1. możliwości przejścia oceny, np. audytu umiejętności39) , w celu określenia posiadanych umiejętności i potrzeb w zakresie ich poprawy, w tym z wykorzystaniem modelu Bilansu Kompetencji, oraz 2. dopasowanych i elastycznych ofert uczenia się, zgodnych z wynikami audytu umiejętności, oraz 3. walidacji nabytych umiejętności podstawowych lub certyfikowania kwalifikacji, w tym zachęcenie do założenia „Mojego portfolio” lub konta Europass;</t>
  </si>
  <si>
    <t>06.09</t>
  </si>
  <si>
    <t>aktywizacja i włączenie w różnorodne formy edukacji osoby dorosłe, w szczególności osoby z grup w niekorzystnej sytuacji, na rzecz rozwoju umiejętności, kwalifikacji i kompetencji, stanowiących podstawę dla uczenia się przez całe życie, przydatnych do poruszania się na rynku pracy, dla rozwoju osobistego i rozwoju wspólnot lokalnych, poprzez tworzenie lokalnych punktów wsparcia kształcenia osób dorosłych w oparciu o model LOWE (Lokalne Ośrodki Wiedzy i Edukacji*) opracowany w perspektywie 2014-2020 w ramach programu krajowego POWER.</t>
  </si>
  <si>
    <t>VII FUNDUSZE EUROPEJSKIE DLA SPOŁECZEŃSTWA</t>
  </si>
  <si>
    <t>07.06</t>
  </si>
  <si>
    <t>1. Deinstytucjonalizacja opieki długoterminowej (z wyłączeniem opieki paliatywnej i hospicyjnej),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Deinstytucjonalizacja opieki paliatywnej i hospicyjnej.</t>
  </si>
  <si>
    <t>TYP 3: Wdrożenie standardów dostępności w POZ w celu poprawy dostępności placówek POZ dla osób ze szczególnymi potrzebami</t>
  </si>
  <si>
    <t>07.09</t>
  </si>
  <si>
    <t>1. Usługi dla osób w kryzysie bezdomności, dotkniętych wykluczeniem z dostępu do mieszkań lub zagrożonych bezdomnością, w tym wsparcie tworzenia i funkcjonowania mieszkań.
2. Wdrażanie programu „Housing First - Najpierw Mieszkanie".
3. Budowanie zdolności organizacyjnych organizacji społeczeństwa obywatelskiego (typ uzupełniający).</t>
  </si>
  <si>
    <t>07.10</t>
  </si>
  <si>
    <t>Działania na rzecz społeczności lokalnych na terenie objętym LSR</t>
  </si>
  <si>
    <t>07.11</t>
  </si>
  <si>
    <t>1. Kompleksowe wsparcie integracyjne i edukacyjne społeczności mniejszościowych, w tym romskich;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Budowanie zdolności organizacyjnych partnerów społeczeństwa obywatelskiego (typ uzupełniający).</t>
  </si>
  <si>
    <t>07.12</t>
  </si>
  <si>
    <t>1. Wsparcie dialogu społecznego oraz budowanie potencjału organizacji społeczeństwa obywatelskiego.</t>
  </si>
  <si>
    <t>VIII FUNDUSZE EUROPEJSKIE NA INFRASTRUKTURĘ DLA MIESZKAŃCA</t>
  </si>
  <si>
    <t>Poprawa równego dostępu do wysokiej jakości usług sprzyjających włączeniu społecznemu w zakresie kształcenia,
szkoleń i uczenia się przez całe życie poprzez rozwój łatwo dostępnej infrastruktury, w tym poprzez wspieranie odporności w zakresie kształcenia i szkolenia
na odległość oraz online (EFRR)</t>
  </si>
  <si>
    <t>08.01</t>
  </si>
  <si>
    <t>Podniesienie jakości kształcenia w zakresie
rehabilitacji na poziomie szkolnictwa
wyższego</t>
  </si>
  <si>
    <t>II kwartał 2025</t>
  </si>
  <si>
    <t>III kwartał 2025</t>
  </si>
  <si>
    <t>Przebudowa, budowa, remont pomieszczeń w obiektach infrastruktury szkolnictwa wyższego wraz z
zapewnieniem wyposażenia oraz dostosowaniem infrastruktury do edukacji włączającej.</t>
  </si>
  <si>
    <t>Instytucje nauki i edukacji  
Administracja publiczna</t>
  </si>
  <si>
    <t>województwo śląskie (podregiony katowicki, tyski, bytomski, gliwicki, sosnowiecki, rybnicki, bielski)</t>
  </si>
  <si>
    <t>08.04</t>
  </si>
  <si>
    <t>Rozwój infrastruktury usług społecznych w tym mieszkalnictwa treningowego i wspomaganego.</t>
  </si>
  <si>
    <t>Administracja publiczna, Organizacje społeczne i związki wyznaniowe, Przedsiębiorstwa, Służby publiczne</t>
  </si>
  <si>
    <t>08.05</t>
  </si>
  <si>
    <t>Cyfryzacja opieki zdrowotnej</t>
  </si>
  <si>
    <t>Administracja publiczna 
instytucje ochrony zdrowia</t>
  </si>
  <si>
    <t>08.06</t>
  </si>
  <si>
    <t>2.Wsparcie podmiotów podstawowej opieki zdrowotnej i ambulatoryjnej opieki specjalistycznej, w celu wzmocnienia niższych poziomów opieki zdrowotnej, które przyczynią się do zachowania i poprawy stanu zdrowia społeczeństwa oraz łatwiejszego dostępu do lekarza POZ i AOS
3.Wsparcie podmiotów świadczących usługi opieki długoterminowej (w tym hospicyjnej, paliatywnej) w formie zdeinstytucjonalizowanej (dziennej, środowiskowej czy domowej)</t>
  </si>
  <si>
    <t xml:space="preserve">województwo śląskie </t>
  </si>
  <si>
    <t xml:space="preserve">IX FUNDUSZE EUROPEJSKIE NA ROZWÓJ TERYTORIALNY										</t>
  </si>
  <si>
    <t>09.01</t>
  </si>
  <si>
    <t>Rozwój infrastruktury kultury
Infrastruktura turystyczna i dziedzictwa kulturowego
Sieci szlaków turystycznych</t>
  </si>
  <si>
    <t>Administracja publiczna, Organizacje społeczne i związki wyznaniowe, Służby publiczne, Zintegrowane
Inwestycje Terytorialne (ZIT)</t>
  </si>
  <si>
    <t>województwo śląskie (podregion rybnicki)</t>
  </si>
  <si>
    <t>województwo śląskie 
subregion centralny</t>
  </si>
  <si>
    <t>województwo śląskie 
subregion południowy</t>
  </si>
  <si>
    <t>województwo śląskie
(podregion częstochowski)</t>
  </si>
  <si>
    <t>09.02</t>
  </si>
  <si>
    <t>Inicjatywy rozwoju terytorialnego, w tym przygotowanie strategii terytorialnych</t>
  </si>
  <si>
    <t>Zintegrowane Inwestycje Terytorialne (ZIT)</t>
  </si>
  <si>
    <t>09.03</t>
  </si>
  <si>
    <t>Zagospodarowania terenów i obiektów w miastach, oraz na obszarach miejsko-wiejskich wraz z zagospodarowaniem przyległego otoczenia na obszarach rewitalizacji.</t>
  </si>
  <si>
    <t>Administracja publiczna, Instytucje nauki i edukacji, Organizacje społeczne i związki wyznaniowe, Przedsiębiorstwa, Służby publiczne</t>
  </si>
  <si>
    <t>09.05</t>
  </si>
  <si>
    <t>Zagospodarowanie terenów i obiektów na obszarach wiejskich, wraz z zagospodarowaniem przyległego otoczenia na cele realizacji zadań i funkcji niezbędnych dla zaspokojenia potrzeb społeczności gmin
wiejskich na obszarach rewitalizacji.</t>
  </si>
  <si>
    <t>Administracja publiczna, Organizacje społeczne i związki wyznaniowe,
Przedsiębiorstwa, Służby publiczne</t>
  </si>
  <si>
    <t xml:space="preserve">X FUNDUSZE EUROPEJSKIE NA TRANSFORMACJĘ 										</t>
  </si>
  <si>
    <t>10.03</t>
  </si>
  <si>
    <t>Wsparcie rozwoju działalności rzemieślniczej</t>
  </si>
  <si>
    <t>mikro i małe przedsiębiorstwa</t>
  </si>
  <si>
    <t>Wsparcie zostanie skierowane do mikro i małych przedsiębiorstw, na rozwój i utrzymanie działalności rzemieślniczej przedsiębiorstwa, którego dotyczy dowód kwalifikacji zawodowej aplikującego Wnioskodawcy. O wsparcie mogą się ubiegać wyłącznie przedsiębiorstwa ujęte w CEIDG, w tym wspólnicy spółek cywilnych, o ile przedstawią dowód kwalifikacji zawodowej. Minimalna wartość dofinansowania, o którą będą mogli ubiegać się Wnioskodawcy wynosi 
50 000,00 PLN, a maksymalna nie może przekroczyć 400 000,00 PLN. Maksymalna wartość całkowita projektu to 200 000,00 EUR.</t>
  </si>
  <si>
    <t>Wsparcie MŚP na rzecz transformacji</t>
  </si>
  <si>
    <t> </t>
  </si>
  <si>
    <t>Mezoinwestycje w MŚP</t>
  </si>
  <si>
    <t>Śląskie Centrum Przedsiębiorczości</t>
  </si>
  <si>
    <t>Nabór zostanie skierowany do przedsiębiorstw z sektora MŚP na projekty, których minimalna wartość dofinansowania wyniesie minimum 2 mln zł, a maksymalna wartość dofinansowania nie przekroczy 5 mln zł.</t>
  </si>
  <si>
    <t>Przemysł czasu wolnego w MŚP</t>
  </si>
  <si>
    <t>Wsparcie zostanie skierowane do przedsiębiorstw z sektora MŚP. Projekty będą przyczyniać się do
transformacji województwa śląskiego poprzez realizację inwestycji produkcyjnych w obszarze zaliczanym do przemysłu czasu wolnego, w tym turystyki postindustrialnej.</t>
  </si>
  <si>
    <t>10.04</t>
  </si>
  <si>
    <t>Wsparcie dużych przedsiębiorstw na rzecz transformacji</t>
  </si>
  <si>
    <t>duże przedsiębiorstwa</t>
  </si>
  <si>
    <t>Nabór zostanie skierowany do przedsiębiorstw z sektora dużych przedsiębiorstw, na projekty zidentyfikowane w programie FE SL 2021-2027.</t>
  </si>
  <si>
    <t>10.06</t>
  </si>
  <si>
    <t xml:space="preserve">Infrastruktura służąca do produkcji i/lub magazynowania energii z odnawialnych źródeł w projektach parasolowych i grantowych.
Infrastruktura służąca do produkcji i/lub magazynowania energii z odnawialnych źródeł w projektach innych niż parasolowe i grantowe </t>
  </si>
  <si>
    <t>województwo śląskie (podregiony - katowicki, bielski, tyski, rybnicki, gliwicki, bytomski; sosnowiecki)</t>
  </si>
  <si>
    <t>Infrastruktura służąca do produkcji i/lub magazynowania energii z odnawialnych źródeł (projekty inne niż parasolowe i grantowe)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</si>
  <si>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</si>
  <si>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Infrastruktura służąca do produkcji i/lub magazynowania energii z odnawialnych źródeł w projektach parasolowych i grantowych.</t>
  </si>
  <si>
    <t>Administracja publiczna, 
Partnerstwa</t>
  </si>
  <si>
    <t>10.07</t>
  </si>
  <si>
    <t>Rekultywacja terenów poprzemysłowych, zdewastowanych, zdegradowanych na cele środowiskowe</t>
  </si>
  <si>
    <t xml:space="preserve">Administracja publiczna, 
Przedsiębiorstwa, 
Przedsiębiorstwa realizujące cele publiczne,
Zintegrowane Inwestycje Terytorialne (ZIT), Organizacje społeczne i związki wyznaniowe, Służby publiczne, 
Instytucje nauki i edukacji </t>
  </si>
  <si>
    <t>województwo śląskie (podregiony katowicki, tyski, bytomski, gliwicki, sosnowiecki)</t>
  </si>
  <si>
    <t>województwo śląskie (podregion bielski)</t>
  </si>
  <si>
    <t>OSI Centralny, OSI Południowy, OSI Zachodni</t>
  </si>
  <si>
    <t xml:space="preserve">Administracja publiczna, </t>
  </si>
  <si>
    <t>województwo śląskie (podregiony bytomski, gliwicki, katowicki, tyski, sosnowiecki, bielski, rybnicki)</t>
  </si>
  <si>
    <t>10.08</t>
  </si>
  <si>
    <t>Poprawa stosunków wodnych na obszarze oddziaływania kopalń</t>
  </si>
  <si>
    <t>Administracja publiczna, Przedsiębiorstwa, Przedsiębiorstwa realizujące cele
publiczne, Zintegrowane Inwestycje Terytorialne (ZIT), Organizacje społeczne i
związki wyznaniowe, Służby publiczne, Instytucje nauki i edukacji</t>
  </si>
  <si>
    <t>10.09</t>
  </si>
  <si>
    <t xml:space="preserve">Ponowne wykorzystanie terenów poprzemysłowych, zdewastowanych, zdegradowanych na cele rozwojowe regionu </t>
  </si>
  <si>
    <t xml:space="preserve">Administracja publiczna. 
Służby publiczne. 
Partnerstwa. 
Organizacje społeczne i związki wyznaniowe. 
Instytucje nauki i edukacji. </t>
  </si>
  <si>
    <t>OSI - nabór dedykowany dla gminy Rydułtowy</t>
  </si>
  <si>
    <t>10.12</t>
  </si>
  <si>
    <t>Zrównoważona, inteligentna mobilność – kluczem do transformacji regionu - etap 2</t>
  </si>
  <si>
    <t>Nie dotyczy</t>
  </si>
  <si>
    <t xml:space="preserve">niekonkurencyjny </t>
  </si>
  <si>
    <t>województwo śląskie (podregiony katowicki, tyski, sosnowiecki)</t>
  </si>
  <si>
    <t>10.13</t>
  </si>
  <si>
    <t>SPIN-ART-Centrum Edukacji Artystycznej i Kulturalnej UŚ</t>
  </si>
  <si>
    <t>Przebudowa, budowa, remont obiektów infrastruktury szkolnictwa wyższego wraz z zapewnieniem wyposażenia oraz dostosowaniem infrastruktury do edukacji włączającej</t>
  </si>
  <si>
    <t>Raciborska 44 – rozbudowa infrastruktury
dydaktycznej kampusu ASP na rzecz sztuki i
dizajnu</t>
  </si>
  <si>
    <t>10.14</t>
  </si>
  <si>
    <t>Przebudowa, budowa, remont sal do praktycznej nauki zawodu wraz z zapewnieniem wyposażenia oraz dostosowaniem infrastruktury do kształcenia włączającego uczniów.</t>
  </si>
  <si>
    <t>Administracja rządowa, Instytucje otoczenia biznesu, Jednostki Samorządu Terytorialnego, Kościoły i związki wyznaniowe, Organizacje pozarządowe, Podmioty zarządzające terenami inwestycyjnymi, Szkoły i inne placówki systemu oświaty, Zintegrowane Inwestycje Terytorialne (ZIT)</t>
  </si>
  <si>
    <t>Istnieje możliwość, iż nabór nie zostanie uruchomiony.</t>
  </si>
  <si>
    <t>Istnieje możliwość iż nabór nie zostanie uruchomiony.</t>
  </si>
  <si>
    <t>10.18</t>
  </si>
  <si>
    <t>Wsparcie mające na celu utrzymania zatrudnienia u pracodawców przechodzących zmiany restrukturyzacyjne, których celem będzie przebranżowienie swojego profilu działalności, tzw. redeployment, zgodnie z polityką gospodarczą – lokalnym podejściem do rozwoju gospodarki, w szczególności z uwagi na potrzebę przechodzenia na gospodarkę niskoemisyjną.</t>
  </si>
  <si>
    <t>10.21</t>
  </si>
  <si>
    <t>Wsparcie pracowników zaangażowanych w proces transformacji. Szkolenia dla pracowników służb polityki społecznej wspierające pracę z osobami dotkniętymi procesami transformacji.</t>
  </si>
  <si>
    <t>XI FUNDUSZE EUROPEJSKIE NA POMOC TECHNICZĄ EFFR</t>
  </si>
  <si>
    <t>XII FUNDUSZE EUROPEJSKIE NA POMOC TECHNICZĄ EFS+</t>
  </si>
  <si>
    <t>XIII FUNDUSZE EUROPEJSKIE NA POMOC TECHNICZĄ FST</t>
  </si>
  <si>
    <t>1. liczba naborów i kwoty na priorytet</t>
  </si>
  <si>
    <t>Priorytet</t>
  </si>
  <si>
    <t>liczba naborów</t>
  </si>
  <si>
    <t>kwota EUR</t>
  </si>
  <si>
    <t>kwota PLN</t>
  </si>
  <si>
    <t>I</t>
  </si>
  <si>
    <t>FUNDUSZE EUROPEJSKIE NA INTELIGENTNY ROZWÓJ</t>
  </si>
  <si>
    <t>II</t>
  </si>
  <si>
    <t>FUNDUSZE EUROPEJSKIE NA ZIELONY ROZWÓJ</t>
  </si>
  <si>
    <t>III</t>
  </si>
  <si>
    <t>FUNDUSZE EUROPEJSKIE DLA ZRÓWNOWAŻONEJ MOBILNOŚCI</t>
  </si>
  <si>
    <t>IV</t>
  </si>
  <si>
    <t>FUNDUSZE EUROPEJSKIE DLA SPRAWNEGO TRANSPORTU</t>
  </si>
  <si>
    <t>V</t>
  </si>
  <si>
    <t>FUNDUSZE EUROPEJSKIE DLA RYNKU PRACY</t>
  </si>
  <si>
    <t>VI</t>
  </si>
  <si>
    <t>FUNDUSZE EUROPEJSKIE DLA EDUKACJI</t>
  </si>
  <si>
    <t>VII</t>
  </si>
  <si>
    <t>FUNDUSZE EUROPEJSKIE DLA SPOŁECZEŃSTWA</t>
  </si>
  <si>
    <t>VIII</t>
  </si>
  <si>
    <t>FUNDUSZE EUROPEJSKIE NA INFRASTRUKTURĘ DLA MIESZKAŃCA</t>
  </si>
  <si>
    <t>IX</t>
  </si>
  <si>
    <t>FUNDUSZE EUROPEJSKIE NA ROZWÓJ TERYTORIALNY</t>
  </si>
  <si>
    <t>X</t>
  </si>
  <si>
    <t>FUNDUSZE EUROPEJSKIE NA TRANSFORMACJI</t>
  </si>
  <si>
    <t>XI</t>
  </si>
  <si>
    <t>FUNDUSZE EUROPEJSKIE NA POMOC TECHNICZNĄ EFRR</t>
  </si>
  <si>
    <t>XII</t>
  </si>
  <si>
    <t>FUNDUSZE EUROPEJSKIE NA POMOC TECHNICZNĄ EFS+</t>
  </si>
  <si>
    <t>XIII</t>
  </si>
  <si>
    <t>FUNDUSZE EUROPEJSKIE NA POMOC TECHNICZNĄ FST</t>
  </si>
  <si>
    <t>SUMA</t>
  </si>
  <si>
    <t>2. Liczba naborów i kwoty w podziale na IONy</t>
  </si>
  <si>
    <t>DEFRR</t>
  </si>
  <si>
    <t>DEFS</t>
  </si>
  <si>
    <t>Departament Europejskiego Funduszu Społecznego</t>
  </si>
  <si>
    <t>ŚCP</t>
  </si>
  <si>
    <t>WUP</t>
  </si>
  <si>
    <t>DRT</t>
  </si>
  <si>
    <t>Departament Rozwoju i Transformacji Regionu</t>
  </si>
  <si>
    <t>3. Liczba naborów i kwoty w podziale na daty</t>
  </si>
  <si>
    <t>trwające i rozpoczynające sie do końca aktualnego kwartału</t>
  </si>
  <si>
    <t>od pierwszego miesiąca nowego kwartału do konca 2025 roku</t>
  </si>
  <si>
    <t>pozostałe</t>
  </si>
  <si>
    <t>D</t>
  </si>
  <si>
    <t>RSO</t>
  </si>
  <si>
    <t>RSO.T</t>
  </si>
  <si>
    <t>D.T</t>
  </si>
  <si>
    <t>ION</t>
  </si>
  <si>
    <t>01.01</t>
  </si>
  <si>
    <t>RSO1.1</t>
  </si>
  <si>
    <t xml:space="preserve">Rozwijanie i wzmacnianie zdolności badawczych i innowacyjnych oraz wykorzystywanie zaawansowanych technologii </t>
  </si>
  <si>
    <t>B+R - organizacje badawcze</t>
  </si>
  <si>
    <t>Badania, rozwój i innowacje w przedsiębiorstwach</t>
  </si>
  <si>
    <t>01.03</t>
  </si>
  <si>
    <t>Ekosystem RIS</t>
  </si>
  <si>
    <t>01.04</t>
  </si>
  <si>
    <t>RSO1.2</t>
  </si>
  <si>
    <t xml:space="preserve">Czerpanie korzyści z cyfryzacji dla obywateli, przedsiębiorstw, organizacji badawczych i instytucji publicznych </t>
  </si>
  <si>
    <t xml:space="preserve">Cyfryzacja administracji publicznej </t>
  </si>
  <si>
    <t>01.05</t>
  </si>
  <si>
    <t>Innowacyjne rozwiązania cyfrowe w ochronie zdrowia</t>
  </si>
  <si>
    <t>01.06</t>
  </si>
  <si>
    <t>RSO1.3</t>
  </si>
  <si>
    <t xml:space="preserve">Wzmacnianie trwałego wzrostu i konkurencyjności MŚP oraz tworzenie miejsc pracy w MŚP, w tym poprzez inwestycje produkcyjne </t>
  </si>
  <si>
    <t>Rozwój przedsiębiorczości - EFRR</t>
  </si>
  <si>
    <t>01.07</t>
  </si>
  <si>
    <t>Klastry</t>
  </si>
  <si>
    <t>01.08</t>
  </si>
  <si>
    <t>Innowacje cyfrowe w MŚP</t>
  </si>
  <si>
    <t>01.09</t>
  </si>
  <si>
    <t>Konkurencyjność przedsiębiorstw (IF)</t>
  </si>
  <si>
    <t>01.10</t>
  </si>
  <si>
    <t>Promocja eksportu i internacjonalizacja MŚP</t>
  </si>
  <si>
    <t>RSO2.1</t>
  </si>
  <si>
    <t>Wspieranie efektywności energetycznej i redukcji emisji gazów cieplarnianych</t>
  </si>
  <si>
    <t xml:space="preserve">Efektywność energetyczna budynków użyteczności publicznej </t>
  </si>
  <si>
    <t>Efektywność energetyczna budynków użyteczności publicznej - ZIT</t>
  </si>
  <si>
    <t>02.03</t>
  </si>
  <si>
    <t xml:space="preserve">Efektywność energetyczna budynków mieszkalnych </t>
  </si>
  <si>
    <t>Efektywność energetyczna budynków mieszkalnych - ZIT</t>
  </si>
  <si>
    <t>02.05</t>
  </si>
  <si>
    <t>Efektywność energetyczna budynków użyteczności publicznej, mieszkalnych i przedsiębiorstw (IF)</t>
  </si>
  <si>
    <t>RSO2.2</t>
  </si>
  <si>
    <t>Wspieranie energii odnawialnej zgodnie z dyrektywą (UE) 2018/2001, w tym określonymi w niej kryteriami zrównowazonego rozwoju</t>
  </si>
  <si>
    <t>Odnawialne źródła energii</t>
  </si>
  <si>
    <t>02.07</t>
  </si>
  <si>
    <t>Odnawialne źródła energii (IF)</t>
  </si>
  <si>
    <t>RSO2.4</t>
  </si>
  <si>
    <t xml:space="preserve">Wspieranie przystosowania się do zmiany klimatu i zapobiegania ryzyku związanemu z klęskami żywiołowymi i katastrofami, odporności, z uwzględnieniem podejścia ekosystemowego </t>
  </si>
  <si>
    <t>Wsparcie dla klimatu</t>
  </si>
  <si>
    <t>Wsparcie dla klimatu - ZIT</t>
  </si>
  <si>
    <t>02.10</t>
  </si>
  <si>
    <t>Wzmocnienie potencjału służb ratowniczych</t>
  </si>
  <si>
    <t>RSO2.5</t>
  </si>
  <si>
    <t xml:space="preserve">Wspieranie dostępu do wody oraz zrównoważonej gospodarki wodnej </t>
  </si>
  <si>
    <t>RSO2.6</t>
  </si>
  <si>
    <t>Wspieranie transformacji w kierunku gospodarki o obiegu zamkniętym i gospodarki zasobooszczędnej</t>
  </si>
  <si>
    <t>Gospodarka odpadami komunalnymi</t>
  </si>
  <si>
    <t>02.13</t>
  </si>
  <si>
    <t>Gospodarka o obiegu zamkniętym (IF)</t>
  </si>
  <si>
    <t>RSO2.7</t>
  </si>
  <si>
    <t>Wzmacnianie ochrony i zachowania przyrody, różnorodności biologicznej oraz zielonej infrastruktury, w tym na obszarach miejskich, oraz ograniczanie wszelkich rodzajów zanieczyszczenia</t>
  </si>
  <si>
    <t>Ochrona przyrody i bioróżnorodność</t>
  </si>
  <si>
    <t>Ochrona przyrody i bioróżnorodność - ZIT</t>
  </si>
  <si>
    <t>Rekultywacja terenów zdegradowanych</t>
  </si>
  <si>
    <t>RSO2.8</t>
  </si>
  <si>
    <t>Wspieranie zrównoważonej multimodalnej mobilności miejskiej jako elementu transformacji w kierunku gospodarki zeroemisyjnej</t>
  </si>
  <si>
    <t>Zakup taboru autobusowego/ trolejbusowego - ZIT</t>
  </si>
  <si>
    <t>Zrównoważona multimodalna mobilność miejska  - ZIT</t>
  </si>
  <si>
    <t>Regionalne Trasy Rowerowe - ZIT</t>
  </si>
  <si>
    <t>04.01</t>
  </si>
  <si>
    <t>RSO3.2</t>
  </si>
  <si>
    <t xml:space="preserve">Rozwój i udoskonalanie zrównoważonej, odpornej na zmiany klimatu, inteligentnej i intermodalnej mobilności na poziomie krajowym, regionalnym i lokalnym, w tym poprawa dostępu do TEN-T oraz mobilności transgranicznej </t>
  </si>
  <si>
    <t>Drogi wojewódzkie</t>
  </si>
  <si>
    <t>04.02</t>
  </si>
  <si>
    <t>Drogi gminne i powiatowe</t>
  </si>
  <si>
    <t>04.03</t>
  </si>
  <si>
    <t>Regionalny tabor kolejowy</t>
  </si>
  <si>
    <t>05.01</t>
  </si>
  <si>
    <t>ESO4.1</t>
  </si>
  <si>
    <t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t>
  </si>
  <si>
    <t>Aktywizacja zawodowa poprzez PUP</t>
  </si>
  <si>
    <t>Aktywizacja zawodowa poprzez OHP</t>
  </si>
  <si>
    <t>ALMA - staże zagraniczne dla młodych</t>
  </si>
  <si>
    <t>05.04</t>
  </si>
  <si>
    <t>Aktywizacja zawodowa osób pracujących</t>
  </si>
  <si>
    <t>05.05</t>
  </si>
  <si>
    <t>Usługi EURES</t>
  </si>
  <si>
    <t>ESO4.2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</si>
  <si>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</si>
  <si>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Szkolenia dla pracowników IRP</t>
  </si>
  <si>
    <t>05.07</t>
  </si>
  <si>
    <t>Opracowanie modelu prognozowania i monitorowania zmian na rynku pracy.</t>
  </si>
  <si>
    <t>05.08</t>
  </si>
  <si>
    <t>Budowanie sieci współpracy międzyinstytucjonalnej i promocji w zakresie poradnictwa zawodowego.</t>
  </si>
  <si>
    <t>05.09</t>
  </si>
  <si>
    <t>EURES-T Beskydy</t>
  </si>
  <si>
    <t>05.10</t>
  </si>
  <si>
    <t>EURES dla PSZ</t>
  </si>
  <si>
    <t>05.11</t>
  </si>
  <si>
    <t>ESO4.3</t>
  </si>
  <si>
    <t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</si>
  <si>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Równość szans na rynku pracy</t>
  </si>
  <si>
    <t>ESO4.4</t>
  </si>
  <si>
    <t>Wspieranie dostosowania pracowników, przedsiębiorstw i przedsiębiorców do zmian,  wspieranie aktywnego i zdrowego starzenia się oraz zdrowego i dobrze dostosowanego środowiska pracy,  które uwzględnia zagrożenia  dla zdrowia</t>
  </si>
  <si>
    <t>Regionalne programy zdrowotne</t>
  </si>
  <si>
    <t>Zdrowy pracownik</t>
  </si>
  <si>
    <t>Usługi rozwojowe dla kadr administracji samorządowej</t>
  </si>
  <si>
    <t>05.15</t>
  </si>
  <si>
    <t>Usługi rozwojowe dla przedsiębiorców - PSF</t>
  </si>
  <si>
    <t>05.16</t>
  </si>
  <si>
    <t>Outplacement EFS+</t>
  </si>
  <si>
    <t>ESO4.6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</si>
  <si>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t>
  </si>
  <si>
    <t>Edukacja przedszkolna</t>
  </si>
  <si>
    <t>Kształcenie ogólne</t>
  </si>
  <si>
    <t>06.03</t>
  </si>
  <si>
    <t>Kształcenie zawodowe</t>
  </si>
  <si>
    <t>Strategiczne projekty dla obszaru edukacji</t>
  </si>
  <si>
    <t>Wsparcie edukacyjne społeczności objetych LSR</t>
  </si>
  <si>
    <t>ESO4.7</t>
  </si>
  <si>
    <t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t>
  </si>
  <si>
    <t>Kształcenie osób dorosłych - EFS+</t>
  </si>
  <si>
    <t>Upskilling pathways - RLKS</t>
  </si>
  <si>
    <t>06.08</t>
  </si>
  <si>
    <t>Upskilling pathways</t>
  </si>
  <si>
    <t>Lokalne Ośrodki Wiedzy i Edukacji - LOWE</t>
  </si>
  <si>
    <t>07.01</t>
  </si>
  <si>
    <t>ESO4.8</t>
  </si>
  <si>
    <t>Wspieranie aktywnego włączenia społecznego w celu promowania równości szans, niedyskryminacji i aktywnego uczestnictwa, oraz zwiększanie zdolności do zatrudnienia, w szczególności grup w niekorzystnej sytuacji</t>
  </si>
  <si>
    <t>Ekonomia społeczna</t>
  </si>
  <si>
    <t>07.02</t>
  </si>
  <si>
    <t>Aktywna integracja</t>
  </si>
  <si>
    <t>07.03</t>
  </si>
  <si>
    <t>ESO4.9</t>
  </si>
  <si>
    <t xml:space="preserve">Wspieranie integracji społeczno-gospodarczej obywateli państw trzecich, w tym migrantów </t>
  </si>
  <si>
    <t>Integracja społeczno - gospodarcza cudzoziemców</t>
  </si>
  <si>
    <t>07.04</t>
  </si>
  <si>
    <t>ESO4.11</t>
  </si>
  <si>
    <t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</si>
  <si>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Usługi społeczne</t>
  </si>
  <si>
    <t>07.05</t>
  </si>
  <si>
    <t>Strategiczne projekty dla obszaru usług społecznych</t>
  </si>
  <si>
    <t>Ochrona zdrowia</t>
  </si>
  <si>
    <t>07.07</t>
  </si>
  <si>
    <t>ESO4.12</t>
  </si>
  <si>
    <t xml:space="preserve">Promowanie integracji społecznej osób zagrożonych ubóstwem lub wykluczeniem społecznym, w tym osób najbardziej potrzebujących i dzieci </t>
  </si>
  <si>
    <t>Wsparcie rodziny, dzieci i młodzieży oraz deinstytucjonalizacja pieczy zastępczej</t>
  </si>
  <si>
    <t>07.08</t>
  </si>
  <si>
    <t>Strategiczne projekty dla obszaru wsparcia rodziny</t>
  </si>
  <si>
    <t>Usługi dla osób w kryzysie bezdomności lub  dotkniętych wykluczeniem z dostępu do mieszkań</t>
  </si>
  <si>
    <t>Wsparcie społeczności objętych LSR</t>
  </si>
  <si>
    <t>Wsparcie społeczności mniejszościowych, w tym społeczności romskich</t>
  </si>
  <si>
    <t>Rozwój dialogu obywatelskiego</t>
  </si>
  <si>
    <t>RSO4.2</t>
  </si>
  <si>
    <t xml:space="preserve"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 </t>
  </si>
  <si>
    <t>Infrastruktura szkolnictwa wyższego</t>
  </si>
  <si>
    <t>08.02</t>
  </si>
  <si>
    <t>Edukacja włączająca</t>
  </si>
  <si>
    <t>08.03</t>
  </si>
  <si>
    <t>Infrastruktura szkolnictwa zawodowego - ZIT</t>
  </si>
  <si>
    <t>RSO4.3</t>
  </si>
  <si>
    <t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</si>
  <si>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Infrastruktura usług społecznych</t>
  </si>
  <si>
    <t>RSO4.5</t>
  </si>
  <si>
    <t>Zapewnianie równego dostępu do opieki zdrowotnej i wspieranie odporności systemów opieki zdrowotnej, w tym podstawowej opieki zdrowotnej, oraz wspieranie przechodzenia od opieki instytucjonalnej do opieki rodzinnej i środowiskowej</t>
  </si>
  <si>
    <t>E-zdrowie</t>
  </si>
  <si>
    <t>Infrastruktura ochrony zdrowia</t>
  </si>
  <si>
    <t>08.07</t>
  </si>
  <si>
    <t>RSO4.6</t>
  </si>
  <si>
    <t>Wzmacnianie roli kultury i zrównoważonej turystyki w rozwoju gospodarczym, włączeniu społecznym i innowacjach społecznych</t>
  </si>
  <si>
    <t>Kultura i turystyka szczebla regionalnego</t>
  </si>
  <si>
    <t>RSO5.1</t>
  </si>
  <si>
    <t>Wspieranie zintegrowanego i sprzyjającego włączeniu społecznemu rozwoju społecznego, gospodarczego i środowiskowego, kultury, dziedzictwa naturalnego, zrównoważonej turystyki i bezpieczeństwa na obszarach miejskich</t>
  </si>
  <si>
    <t>Zwiększenie roli kultury i turystyki w rozwoju subregionalnym - ZIT</t>
  </si>
  <si>
    <t>Rozwój ZIT</t>
  </si>
  <si>
    <t>Rewitalizacja obszarów miejskich</t>
  </si>
  <si>
    <t>09.04</t>
  </si>
  <si>
    <t>Rewitalizacja obszarów miejskich (IF)</t>
  </si>
  <si>
    <t>RSO5.2</t>
  </si>
  <si>
    <t xml:space="preserve">Wspieranie zintegrowanego i sprzyjającego włączeniu społecznemu rozwoju społecznego, gospodarczego i środowiskowego na poziomie lokalnym, kultury, dziedzictwa naturalnego, zrównoważonej turystyki i bezpieczeństwa na obszarach innych niż miejskie </t>
  </si>
  <si>
    <t>Rewitalizacja obszarów wiejskich</t>
  </si>
  <si>
    <t>10.01</t>
  </si>
  <si>
    <t>JSO8.1</t>
  </si>
  <si>
    <t xml:space="preserve">Wykorzystanie terenów zdegradowanych  w celu rozwoju regionu poprzez inwestycje przedsiębiorstw </t>
  </si>
  <si>
    <t>10.02</t>
  </si>
  <si>
    <t>Badania, rozwój i innowacje w przedsiębiorstwach na rzecz transformacji</t>
  </si>
  <si>
    <t>10.05</t>
  </si>
  <si>
    <t>Innowacyjna infrastruktura wspierająca gospodarkę.</t>
  </si>
  <si>
    <t>Rozwój energetyki rozproszonej opartej o odnawialne źródła energii </t>
  </si>
  <si>
    <t>Poprawa  stosunków wodnych  na obszarze oddziaływania kopalń </t>
  </si>
  <si>
    <t>Ponowne wykorzystanie terenów poprzemysłowych, zdewastowanych, zdegradowanych na cele rozwojowe regionu.</t>
  </si>
  <si>
    <t>10.10</t>
  </si>
  <si>
    <t>Wsparcie planowania transformacji</t>
  </si>
  <si>
    <t>10.11</t>
  </si>
  <si>
    <t>Systemowe zarządzanie terenami poprzemysłowymi </t>
  </si>
  <si>
    <t>Poprawa mobilności mieszkańców regionu i spójności transportowej podregionów górniczych</t>
  </si>
  <si>
    <t>Infrastruktura szkolnictwa wyższego na potrzeby transformacji</t>
  </si>
  <si>
    <t>Infrastruktura kształcenia zawodowego</t>
  </si>
  <si>
    <t>10.15</t>
  </si>
  <si>
    <t>Wykorzystanie endogenicznych potencjałów podregionów górniczych</t>
  </si>
  <si>
    <t>10.16</t>
  </si>
  <si>
    <t>Rozwój przedsiębiorczości  FST</t>
  </si>
  <si>
    <t>10.17</t>
  </si>
  <si>
    <t>Kształcenie osób dorosłych - FST</t>
  </si>
  <si>
    <t xml:space="preserve">Redeployment </t>
  </si>
  <si>
    <t>10.19</t>
  </si>
  <si>
    <t>Outpalcement FST</t>
  </si>
  <si>
    <t>10.20</t>
  </si>
  <si>
    <t>Wsparcie na założenie działalności gospodarczej</t>
  </si>
  <si>
    <t>Wsparcie pracowników zaangażowanych w proces transformacji</t>
  </si>
  <si>
    <t>10.22</t>
  </si>
  <si>
    <t>Regionalne Obserwatorim Procesu Transformacji - FST</t>
  </si>
  <si>
    <t>10.23</t>
  </si>
  <si>
    <t>Edukacja zawodowa w procesie sprawiedliwej transformacji regionu</t>
  </si>
  <si>
    <t>10.24</t>
  </si>
  <si>
    <t>Włączenie społeczne - wzmocnienie procesu sprawiedliwej transformacji</t>
  </si>
  <si>
    <t>10.25</t>
  </si>
  <si>
    <t>Rozwój kształcenia wyższego zgodnie z potrzebami zielonej gospodarki</t>
  </si>
  <si>
    <t>10.26</t>
  </si>
  <si>
    <t>Wzmocnienie procesu sprawiedliwej transformacji w regionie.</t>
  </si>
  <si>
    <t>10.26 Wzmocnienie procesu sprawiedliwej transformacji - zrządzanie procesami transformacji i ich wdrażanie</t>
  </si>
  <si>
    <t>11.1</t>
  </si>
  <si>
    <t>PT</t>
  </si>
  <si>
    <t>Pomoc techniczna</t>
  </si>
  <si>
    <t>Pomoc Technicza EFRR</t>
  </si>
  <si>
    <t>12.1</t>
  </si>
  <si>
    <t>Pomoc Technicza EFS+</t>
  </si>
  <si>
    <t>13.01</t>
  </si>
  <si>
    <t>PT.1-  Pomoc Techniczna</t>
  </si>
  <si>
    <t>Pomoc Technicza FST</t>
  </si>
  <si>
    <t>Kompleksowa modernizacja Zakładu Zagospodarowania Odpadów Częstochowskiego Przedsiębiorstwa Komunalnego Sp. z o.o. w Sobuczynie w latach 2023-2030</t>
  </si>
  <si>
    <t>Śląskie. Inwestujemy w talenty PLUS - II edycja</t>
  </si>
  <si>
    <t>Śląskie. Dostępne POZ</t>
  </si>
  <si>
    <t>Typ 2. Granty na rozwój organizacji społeczeństwa obywatelskiego.</t>
  </si>
  <si>
    <t xml:space="preserve"> Śląskie. Dla rozwoju wspólNeGO</t>
  </si>
  <si>
    <t>Nabór nie został uruchomiony we wskazanym terminie.
Zarząd Województwa Śląskiego w odpowiedzi na zidentyfikowane potrzeby inwestycyjne poszukuje możliwości zwiększenia alokacji dla tego działania.
O nowym terminie ogłoszenia naborów będziemy informować na stronie funduszeUE.slaskie.pl.
Nabór dla aglomeracji z przedziału od 2 tyś. RLM do poniżej 10 tyś. RLM z całego wojewóztwa</t>
  </si>
  <si>
    <t>województwo śląskie
(podregion sosnowiecki)</t>
  </si>
  <si>
    <t>możliwe jest ogłoszenie konkursu tylko na wybrane typy /typ projektu</t>
  </si>
  <si>
    <t>Istnieje możliwość, ogłoszenia naboru w innym terminie.
Istnieje możliwość, iż nabór dla projektów dot. budowy i modernizacji systemów zaopatrzenia w wodę, typ 4, zostanie ogłoszony równolegle z dwoma pozostałymi, uwzględnionymi w harmonogramie naborami dla działania 2.11 Infrastruktura wodno-kanalizacyjna dedykowanymi dla typów projektów 1, 2 i 3 działania 2.11.</t>
  </si>
  <si>
    <t>województwo śląskie (podregion częstochowski)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</si>
</sst>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[$€-1]"/>
    <numFmt numFmtId="166" formatCode="yyyy\-mm\-dd;@"/>
    <numFmt numFmtId="167" formatCode="[$-415]mmmm\ yy;@"/>
    <numFmt numFmtId="168" formatCode="#,##0.00\ [$€-1];[Red]\-#,##0.00\ [$€-1]"/>
    <numFmt numFmtId="169" formatCode="_-* #,##0.00\ [$€-1]_-;\-* #,##0.00\ [$€-1]_-;_-* &quot;-&quot;??\ [$€-1]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3"/>
      <color theme="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2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3"/>
      <color theme="0"/>
      <name val="Arial"/>
    </font>
    <font>
      <sz val="8"/>
      <name val="Calibri"/>
      <family val="2"/>
      <charset val="238"/>
      <scheme val="minor"/>
    </font>
    <font>
      <sz val="12"/>
      <name val="Arial"/>
    </font>
    <font>
      <sz val="12"/>
      <name val="Arial"/>
      <charset val="238"/>
    </font>
    <font>
      <sz val="12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301">
    <xf numFmtId="0" fontId="0" fillId="0" borderId="0" xfId="0"/>
    <xf numFmtId="0" fontId="0" fillId="3" borderId="0" xfId="0" applyFill="1" applyAlignment="1">
      <alignment horizontal="left" vertical="center" wrapText="1"/>
    </xf>
    <xf numFmtId="49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4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/>
    <xf numFmtId="168" fontId="4" fillId="0" borderId="10" xfId="0" applyNumberFormat="1" applyFont="1" applyBorder="1"/>
    <xf numFmtId="8" fontId="4" fillId="0" borderId="10" xfId="0" applyNumberFormat="1" applyFont="1" applyBorder="1"/>
    <xf numFmtId="0" fontId="0" fillId="0" borderId="0" xfId="0" applyAlignment="1">
      <alignment vertical="center"/>
    </xf>
    <xf numFmtId="0" fontId="10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10" xfId="0" applyFont="1" applyBorder="1"/>
    <xf numFmtId="0" fontId="10" fillId="0" borderId="0" xfId="0" applyFont="1" applyAlignment="1">
      <alignment vertical="center"/>
    </xf>
    <xf numFmtId="0" fontId="12" fillId="3" borderId="0" xfId="0" applyFont="1" applyFill="1"/>
    <xf numFmtId="0" fontId="0" fillId="0" borderId="0" xfId="0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0" borderId="2" xfId="0" applyBorder="1" applyAlignment="1">
      <alignment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49" fontId="14" fillId="0" borderId="10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vertical="center"/>
    </xf>
    <xf numFmtId="0" fontId="13" fillId="8" borderId="10" xfId="0" applyFont="1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164" fontId="13" fillId="4" borderId="10" xfId="0" applyNumberFormat="1" applyFont="1" applyFill="1" applyBorder="1" applyAlignment="1">
      <alignment vertical="center" wrapText="1"/>
    </xf>
    <xf numFmtId="165" fontId="13" fillId="0" borderId="10" xfId="0" applyNumberFormat="1" applyFont="1" applyBorder="1" applyAlignment="1">
      <alignment vertical="center" wrapText="1"/>
    </xf>
    <xf numFmtId="0" fontId="13" fillId="8" borderId="10" xfId="0" applyFont="1" applyFill="1" applyBorder="1" applyAlignment="1">
      <alignment horizontal="left" vertical="center" wrapText="1"/>
    </xf>
    <xf numFmtId="14" fontId="13" fillId="8" borderId="10" xfId="0" applyNumberFormat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left" vertical="center" wrapText="1"/>
    </xf>
    <xf numFmtId="164" fontId="13" fillId="3" borderId="10" xfId="0" applyNumberFormat="1" applyFont="1" applyFill="1" applyBorder="1" applyAlignment="1">
      <alignment vertical="center" wrapText="1"/>
    </xf>
    <xf numFmtId="2" fontId="13" fillId="0" borderId="10" xfId="0" applyNumberFormat="1" applyFont="1" applyBorder="1" applyAlignment="1">
      <alignment horizontal="left" vertical="center" wrapText="1"/>
    </xf>
    <xf numFmtId="14" fontId="13" fillId="0" borderId="10" xfId="0" applyNumberFormat="1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164" fontId="13" fillId="0" borderId="10" xfId="0" applyNumberFormat="1" applyFont="1" applyBorder="1" applyAlignment="1">
      <alignment horizontal="right" vertical="center"/>
    </xf>
    <xf numFmtId="165" fontId="13" fillId="0" borderId="10" xfId="0" applyNumberFormat="1" applyFont="1" applyBorder="1" applyAlignment="1">
      <alignment horizontal="right" vertical="center" wrapText="1"/>
    </xf>
    <xf numFmtId="0" fontId="13" fillId="4" borderId="10" xfId="0" applyFont="1" applyFill="1" applyBorder="1" applyAlignment="1">
      <alignment horizontal="center" vertical="center"/>
    </xf>
    <xf numFmtId="8" fontId="13" fillId="0" borderId="10" xfId="0" applyNumberFormat="1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vertical="center" wrapText="1"/>
    </xf>
    <xf numFmtId="14" fontId="13" fillId="3" borderId="10" xfId="0" applyNumberFormat="1" applyFont="1" applyFill="1" applyBorder="1" applyAlignment="1">
      <alignment horizontal="center" vertical="center" wrapText="1"/>
    </xf>
    <xf numFmtId="167" fontId="13" fillId="8" borderId="10" xfId="0" applyNumberFormat="1" applyFont="1" applyFill="1" applyBorder="1" applyAlignment="1">
      <alignment horizontal="center" vertical="center" wrapText="1"/>
    </xf>
    <xf numFmtId="164" fontId="13" fillId="8" borderId="10" xfId="0" applyNumberFormat="1" applyFont="1" applyFill="1" applyBorder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13" fillId="3" borderId="10" xfId="0" applyFont="1" applyFill="1" applyBorder="1" applyAlignment="1">
      <alignment horizontal="center" vertical="center" wrapText="1"/>
    </xf>
    <xf numFmtId="166" fontId="13" fillId="0" borderId="10" xfId="0" applyNumberFormat="1" applyFont="1" applyBorder="1" applyAlignment="1">
      <alignment horizontal="center" vertical="center" wrapText="1"/>
    </xf>
    <xf numFmtId="164" fontId="13" fillId="8" borderId="10" xfId="0" applyNumberFormat="1" applyFont="1" applyFill="1" applyBorder="1" applyAlignment="1">
      <alignment horizontal="right" vertical="center" wrapText="1"/>
    </xf>
    <xf numFmtId="0" fontId="14" fillId="0" borderId="12" xfId="0" applyFont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4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vertical="center" wrapText="1"/>
    </xf>
    <xf numFmtId="49" fontId="14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164" fontId="13" fillId="3" borderId="15" xfId="0" applyNumberFormat="1" applyFont="1" applyFill="1" applyBorder="1" applyAlignment="1">
      <alignment vertical="center" wrapText="1"/>
    </xf>
    <xf numFmtId="165" fontId="13" fillId="0" borderId="15" xfId="0" applyNumberFormat="1" applyFont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left" vertical="center"/>
    </xf>
    <xf numFmtId="0" fontId="14" fillId="7" borderId="20" xfId="0" applyFont="1" applyFill="1" applyBorder="1" applyAlignment="1">
      <alignment horizontal="left" vertical="center" wrapText="1"/>
    </xf>
    <xf numFmtId="49" fontId="14" fillId="7" borderId="20" xfId="0" applyNumberFormat="1" applyFont="1" applyFill="1" applyBorder="1" applyAlignment="1">
      <alignment horizontal="center" vertical="center"/>
    </xf>
    <xf numFmtId="49" fontId="14" fillId="7" borderId="20" xfId="0" applyNumberFormat="1" applyFont="1" applyFill="1" applyBorder="1" applyAlignment="1">
      <alignment vertical="center" wrapText="1"/>
    </xf>
    <xf numFmtId="49" fontId="14" fillId="7" borderId="20" xfId="0" applyNumberFormat="1" applyFont="1" applyFill="1" applyBorder="1" applyAlignment="1">
      <alignment horizontal="center" vertical="center" wrapText="1"/>
    </xf>
    <xf numFmtId="14" fontId="13" fillId="7" borderId="20" xfId="0" applyNumberFormat="1" applyFont="1" applyFill="1" applyBorder="1" applyAlignment="1">
      <alignment horizontal="center" vertical="center" wrapText="1"/>
    </xf>
    <xf numFmtId="49" fontId="13" fillId="7" borderId="20" xfId="0" applyNumberFormat="1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left" vertical="center" wrapText="1"/>
    </xf>
    <xf numFmtId="164" fontId="13" fillId="7" borderId="20" xfId="0" applyNumberFormat="1" applyFont="1" applyFill="1" applyBorder="1" applyAlignment="1">
      <alignment vertical="center" wrapText="1"/>
    </xf>
    <xf numFmtId="164" fontId="14" fillId="6" borderId="20" xfId="0" applyNumberFormat="1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left" vertical="center"/>
    </xf>
    <xf numFmtId="0" fontId="14" fillId="7" borderId="21" xfId="0" applyFont="1" applyFill="1" applyBorder="1" applyAlignment="1">
      <alignment horizontal="left" vertical="center" wrapText="1"/>
    </xf>
    <xf numFmtId="49" fontId="14" fillId="7" borderId="21" xfId="0" applyNumberFormat="1" applyFont="1" applyFill="1" applyBorder="1" applyAlignment="1">
      <alignment horizontal="center" vertical="center"/>
    </xf>
    <xf numFmtId="49" fontId="14" fillId="7" borderId="21" xfId="0" applyNumberFormat="1" applyFont="1" applyFill="1" applyBorder="1" applyAlignment="1">
      <alignment vertical="center" wrapText="1"/>
    </xf>
    <xf numFmtId="49" fontId="14" fillId="7" borderId="21" xfId="0" applyNumberFormat="1" applyFont="1" applyFill="1" applyBorder="1" applyAlignment="1">
      <alignment horizontal="center" vertical="center" wrapText="1"/>
    </xf>
    <xf numFmtId="14" fontId="13" fillId="7" borderId="21" xfId="0" applyNumberFormat="1" applyFont="1" applyFill="1" applyBorder="1" applyAlignment="1">
      <alignment horizontal="center" vertical="center" wrapText="1"/>
    </xf>
    <xf numFmtId="49" fontId="13" fillId="7" borderId="21" xfId="0" applyNumberFormat="1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left" vertical="center" wrapText="1"/>
    </xf>
    <xf numFmtId="164" fontId="13" fillId="7" borderId="21" xfId="0" applyNumberFormat="1" applyFont="1" applyFill="1" applyBorder="1" applyAlignment="1">
      <alignment vertical="center" wrapText="1"/>
    </xf>
    <xf numFmtId="164" fontId="14" fillId="6" borderId="21" xfId="0" applyNumberFormat="1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left" vertical="center"/>
    </xf>
    <xf numFmtId="0" fontId="14" fillId="7" borderId="22" xfId="0" applyFont="1" applyFill="1" applyBorder="1" applyAlignment="1">
      <alignment horizontal="left" vertical="center" wrapText="1"/>
    </xf>
    <xf numFmtId="49" fontId="14" fillId="7" borderId="22" xfId="0" applyNumberFormat="1" applyFont="1" applyFill="1" applyBorder="1" applyAlignment="1">
      <alignment horizontal="center" vertical="center"/>
    </xf>
    <xf numFmtId="49" fontId="14" fillId="7" borderId="22" xfId="0" applyNumberFormat="1" applyFont="1" applyFill="1" applyBorder="1" applyAlignment="1">
      <alignment vertical="center" wrapText="1"/>
    </xf>
    <xf numFmtId="49" fontId="14" fillId="7" borderId="22" xfId="0" applyNumberFormat="1" applyFont="1" applyFill="1" applyBorder="1" applyAlignment="1">
      <alignment horizontal="center" vertical="center" wrapText="1"/>
    </xf>
    <xf numFmtId="14" fontId="13" fillId="7" borderId="22" xfId="0" applyNumberFormat="1" applyFont="1" applyFill="1" applyBorder="1" applyAlignment="1">
      <alignment horizontal="center" vertical="center" wrapText="1"/>
    </xf>
    <xf numFmtId="49" fontId="13" fillId="7" borderId="22" xfId="0" applyNumberFormat="1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left" vertical="center" wrapText="1"/>
    </xf>
    <xf numFmtId="164" fontId="13" fillId="7" borderId="22" xfId="0" applyNumberFormat="1" applyFont="1" applyFill="1" applyBorder="1" applyAlignment="1">
      <alignment vertical="center" wrapText="1"/>
    </xf>
    <xf numFmtId="164" fontId="14" fillId="6" borderId="22" xfId="0" applyNumberFormat="1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 wrapText="1"/>
    </xf>
    <xf numFmtId="14" fontId="13" fillId="8" borderId="15" xfId="0" applyNumberFormat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49" fontId="14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left" vertical="center" wrapText="1"/>
    </xf>
    <xf numFmtId="49" fontId="14" fillId="6" borderId="21" xfId="0" applyNumberFormat="1" applyFont="1" applyFill="1" applyBorder="1" applyAlignment="1">
      <alignment horizontal="center" vertical="center"/>
    </xf>
    <xf numFmtId="49" fontId="14" fillId="6" borderId="21" xfId="0" applyNumberFormat="1" applyFont="1" applyFill="1" applyBorder="1" applyAlignment="1">
      <alignment horizontal="left" vertical="center" wrapText="1"/>
    </xf>
    <xf numFmtId="49" fontId="14" fillId="6" borderId="21" xfId="0" applyNumberFormat="1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left" vertical="center"/>
    </xf>
    <xf numFmtId="164" fontId="14" fillId="6" borderId="21" xfId="0" applyNumberFormat="1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left" vertical="center"/>
    </xf>
    <xf numFmtId="2" fontId="13" fillId="0" borderId="15" xfId="0" applyNumberFormat="1" applyFont="1" applyBorder="1" applyAlignment="1">
      <alignment horizontal="left" vertical="center" wrapText="1"/>
    </xf>
    <xf numFmtId="14" fontId="13" fillId="0" borderId="14" xfId="0" applyNumberFormat="1" applyFont="1" applyBorder="1" applyAlignment="1">
      <alignment horizontal="center" vertical="center" wrapText="1"/>
    </xf>
    <xf numFmtId="164" fontId="13" fillId="3" borderId="14" xfId="0" applyNumberFormat="1" applyFont="1" applyFill="1" applyBorder="1" applyAlignment="1">
      <alignment vertical="center" wrapText="1"/>
    </xf>
    <xf numFmtId="165" fontId="13" fillId="0" borderId="14" xfId="0" applyNumberFormat="1" applyFont="1" applyBorder="1" applyAlignment="1">
      <alignment vertical="center" wrapText="1"/>
    </xf>
    <xf numFmtId="0" fontId="13" fillId="3" borderId="14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164" fontId="13" fillId="4" borderId="15" xfId="0" applyNumberFormat="1" applyFont="1" applyFill="1" applyBorder="1" applyAlignment="1">
      <alignment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/>
    </xf>
    <xf numFmtId="164" fontId="13" fillId="4" borderId="14" xfId="0" applyNumberFormat="1" applyFont="1" applyFill="1" applyBorder="1" applyAlignment="1">
      <alignment vertical="center" wrapText="1"/>
    </xf>
    <xf numFmtId="0" fontId="13" fillId="4" borderId="14" xfId="0" applyFont="1" applyFill="1" applyBorder="1" applyAlignment="1">
      <alignment horizontal="center" vertical="center" wrapText="1"/>
    </xf>
    <xf numFmtId="165" fontId="13" fillId="7" borderId="21" xfId="0" applyNumberFormat="1" applyFont="1" applyFill="1" applyBorder="1" applyAlignment="1">
      <alignment vertical="center" wrapText="1"/>
    </xf>
    <xf numFmtId="0" fontId="14" fillId="6" borderId="17" xfId="0" applyFont="1" applyFill="1" applyBorder="1" applyAlignment="1">
      <alignment horizontal="left" vertical="center"/>
    </xf>
    <xf numFmtId="0" fontId="14" fillId="6" borderId="22" xfId="0" applyFont="1" applyFill="1" applyBorder="1" applyAlignment="1">
      <alignment horizontal="left" vertical="center" wrapText="1"/>
    </xf>
    <xf numFmtId="49" fontId="14" fillId="6" borderId="22" xfId="0" applyNumberFormat="1" applyFont="1" applyFill="1" applyBorder="1" applyAlignment="1">
      <alignment horizontal="center" vertical="center"/>
    </xf>
    <xf numFmtId="49" fontId="14" fillId="6" borderId="22" xfId="0" applyNumberFormat="1" applyFont="1" applyFill="1" applyBorder="1" applyAlignment="1">
      <alignment horizontal="left" vertical="center" wrapText="1"/>
    </xf>
    <xf numFmtId="49" fontId="14" fillId="6" borderId="22" xfId="0" applyNumberFormat="1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left" vertical="center"/>
    </xf>
    <xf numFmtId="164" fontId="14" fillId="6" borderId="22" xfId="0" applyNumberFormat="1" applyFont="1" applyFill="1" applyBorder="1" applyAlignment="1">
      <alignment horizontal="left" vertical="center"/>
    </xf>
    <xf numFmtId="0" fontId="14" fillId="6" borderId="22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left" vertical="center" wrapText="1"/>
    </xf>
    <xf numFmtId="164" fontId="14" fillId="6" borderId="21" xfId="0" applyNumberFormat="1" applyFont="1" applyFill="1" applyBorder="1" applyAlignment="1">
      <alignment horizontal="center" vertical="center" wrapText="1"/>
    </xf>
    <xf numFmtId="164" fontId="13" fillId="0" borderId="15" xfId="0" applyNumberFormat="1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49" fontId="15" fillId="9" borderId="13" xfId="0" applyNumberFormat="1" applyFont="1" applyFill="1" applyBorder="1" applyAlignment="1">
      <alignment horizontal="center" vertical="center" wrapText="1"/>
    </xf>
    <xf numFmtId="164" fontId="15" fillId="9" borderId="13" xfId="1" applyNumberFormat="1" applyFont="1" applyFill="1" applyBorder="1" applyAlignment="1">
      <alignment horizontal="center" vertical="center" wrapText="1"/>
    </xf>
    <xf numFmtId="165" fontId="15" fillId="9" borderId="13" xfId="1" applyNumberFormat="1" applyFont="1" applyFill="1" applyBorder="1" applyAlignment="1">
      <alignment horizontal="center" vertical="center" wrapText="1"/>
    </xf>
    <xf numFmtId="2" fontId="13" fillId="4" borderId="14" xfId="0" applyNumberFormat="1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left" vertical="center" wrapText="1"/>
    </xf>
    <xf numFmtId="165" fontId="14" fillId="6" borderId="21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164" fontId="19" fillId="0" borderId="0" xfId="1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19" fillId="0" borderId="0" xfId="0" applyNumberFormat="1" applyFont="1" applyAlignment="1">
      <alignment horizontal="right" vertical="center"/>
    </xf>
    <xf numFmtId="44" fontId="19" fillId="0" borderId="0" xfId="0" applyNumberFormat="1" applyFont="1" applyAlignment="1">
      <alignment horizontal="right" vertical="center"/>
    </xf>
    <xf numFmtId="164" fontId="13" fillId="3" borderId="0" xfId="0" applyNumberFormat="1" applyFont="1" applyFill="1" applyAlignment="1">
      <alignment vertical="center" wrapText="1"/>
    </xf>
    <xf numFmtId="0" fontId="12" fillId="0" borderId="23" xfId="0" applyFont="1" applyBorder="1" applyAlignment="1">
      <alignment horizontal="right"/>
    </xf>
    <xf numFmtId="0" fontId="19" fillId="0" borderId="13" xfId="0" applyFont="1" applyBorder="1"/>
    <xf numFmtId="168" fontId="19" fillId="0" borderId="13" xfId="0" applyNumberFormat="1" applyFont="1" applyBorder="1"/>
    <xf numFmtId="8" fontId="19" fillId="0" borderId="13" xfId="0" applyNumberFormat="1" applyFont="1" applyBorder="1"/>
    <xf numFmtId="0" fontId="4" fillId="8" borderId="10" xfId="0" applyFont="1" applyFill="1" applyBorder="1"/>
    <xf numFmtId="0" fontId="9" fillId="0" borderId="15" xfId="0" applyFont="1" applyBorder="1" applyAlignment="1">
      <alignment horizontal="center" vertical="center"/>
    </xf>
    <xf numFmtId="0" fontId="0" fillId="0" borderId="10" xfId="0" applyBorder="1"/>
    <xf numFmtId="14" fontId="0" fillId="0" borderId="10" xfId="0" applyNumberFormat="1" applyBorder="1"/>
    <xf numFmtId="169" fontId="0" fillId="0" borderId="10" xfId="0" applyNumberFormat="1" applyBorder="1"/>
    <xf numFmtId="44" fontId="0" fillId="0" borderId="10" xfId="1" applyFont="1" applyFill="1" applyBorder="1"/>
    <xf numFmtId="49" fontId="0" fillId="3" borderId="7" xfId="0" applyNumberForma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49" fontId="0" fillId="0" borderId="0" xfId="0" applyNumberFormat="1" applyAlignment="1">
      <alignment vertical="center"/>
    </xf>
    <xf numFmtId="14" fontId="1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13" fillId="0" borderId="10" xfId="0" applyNumberFormat="1" applyFont="1" applyBorder="1" applyAlignment="1">
      <alignment horizontal="center" vertical="center" wrapText="1"/>
    </xf>
    <xf numFmtId="14" fontId="13" fillId="4" borderId="10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 wrapText="1"/>
    </xf>
    <xf numFmtId="8" fontId="13" fillId="0" borderId="10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/>
    </xf>
    <xf numFmtId="0" fontId="15" fillId="9" borderId="24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7" xfId="0" applyFont="1" applyBorder="1" applyAlignment="1">
      <alignment vertical="center" wrapText="1"/>
    </xf>
    <xf numFmtId="0" fontId="14" fillId="6" borderId="29" xfId="0" applyFont="1" applyFill="1" applyBorder="1" applyAlignment="1">
      <alignment horizontal="left" vertical="center" wrapText="1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horizontal="left" vertical="center" wrapText="1"/>
    </xf>
    <xf numFmtId="0" fontId="13" fillId="0" borderId="28" xfId="0" applyFont="1" applyBorder="1" applyAlignment="1">
      <alignment vertical="center"/>
    </xf>
    <xf numFmtId="0" fontId="18" fillId="3" borderId="28" xfId="0" applyFont="1" applyFill="1" applyBorder="1" applyAlignment="1">
      <alignment horizontal="left" vertical="center" wrapText="1"/>
    </xf>
    <xf numFmtId="0" fontId="13" fillId="8" borderId="27" xfId="0" applyFont="1" applyFill="1" applyBorder="1" applyAlignment="1">
      <alignment vertical="center" wrapText="1"/>
    </xf>
    <xf numFmtId="167" fontId="13" fillId="0" borderId="27" xfId="0" applyNumberFormat="1" applyFont="1" applyBorder="1" applyAlignment="1">
      <alignment vertical="center" wrapText="1"/>
    </xf>
    <xf numFmtId="0" fontId="13" fillId="8" borderId="27" xfId="0" applyFont="1" applyFill="1" applyBorder="1" applyAlignment="1">
      <alignment horizontal="left" vertical="center" wrapText="1"/>
    </xf>
    <xf numFmtId="0" fontId="13" fillId="7" borderId="25" xfId="0" applyFont="1" applyFill="1" applyBorder="1" applyAlignment="1">
      <alignment horizontal="left" vertical="center" wrapText="1"/>
    </xf>
    <xf numFmtId="0" fontId="13" fillId="7" borderId="29" xfId="0" applyFont="1" applyFill="1" applyBorder="1" applyAlignment="1">
      <alignment horizontal="left" vertical="center" wrapText="1"/>
    </xf>
    <xf numFmtId="0" fontId="13" fillId="7" borderId="30" xfId="0" applyFont="1" applyFill="1" applyBorder="1" applyAlignment="1">
      <alignment horizontal="left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 wrapText="1"/>
    </xf>
    <xf numFmtId="0" fontId="13" fillId="6" borderId="22" xfId="0" applyFont="1" applyFill="1" applyBorder="1" applyAlignment="1">
      <alignment horizontal="left" vertical="center" wrapText="1"/>
    </xf>
    <xf numFmtId="164" fontId="14" fillId="6" borderId="22" xfId="0" applyNumberFormat="1" applyFont="1" applyFill="1" applyBorder="1" applyAlignment="1">
      <alignment horizontal="center" vertical="center" wrapText="1"/>
    </xf>
    <xf numFmtId="8" fontId="13" fillId="8" borderId="10" xfId="0" applyNumberFormat="1" applyFont="1" applyFill="1" applyBorder="1" applyAlignment="1">
      <alignment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49" fontId="14" fillId="6" borderId="33" xfId="0" applyNumberFormat="1" applyFont="1" applyFill="1" applyBorder="1" applyAlignment="1">
      <alignment horizontal="center" vertical="center"/>
    </xf>
    <xf numFmtId="167" fontId="13" fillId="8" borderId="14" xfId="0" applyNumberFormat="1" applyFont="1" applyFill="1" applyBorder="1" applyAlignment="1">
      <alignment horizontal="center" vertical="center" wrapText="1"/>
    </xf>
    <xf numFmtId="167" fontId="13" fillId="8" borderId="18" xfId="0" applyNumberFormat="1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left"/>
    </xf>
    <xf numFmtId="167" fontId="13" fillId="0" borderId="0" xfId="0" applyNumberFormat="1" applyFont="1" applyAlignment="1">
      <alignment horizontal="left" vertical="center"/>
    </xf>
    <xf numFmtId="14" fontId="13" fillId="0" borderId="11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164" fontId="13" fillId="0" borderId="12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165" fontId="13" fillId="0" borderId="12" xfId="0" applyNumberFormat="1" applyFont="1" applyBorder="1" applyAlignment="1">
      <alignment vertical="center" wrapText="1"/>
    </xf>
    <xf numFmtId="14" fontId="13" fillId="0" borderId="1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14" fontId="13" fillId="8" borderId="12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14" fontId="13" fillId="0" borderId="0" xfId="0" applyNumberFormat="1" applyFont="1" applyAlignment="1">
      <alignment horizontal="center" vertical="center"/>
    </xf>
    <xf numFmtId="2" fontId="13" fillId="0" borderId="27" xfId="0" applyNumberFormat="1" applyFont="1" applyBorder="1" applyAlignment="1">
      <alignment horizontal="left" vertical="center" wrapText="1"/>
    </xf>
    <xf numFmtId="0" fontId="13" fillId="0" borderId="28" xfId="0" applyFont="1" applyBorder="1" applyAlignment="1">
      <alignment vertical="center" wrapText="1"/>
    </xf>
    <xf numFmtId="0" fontId="13" fillId="0" borderId="26" xfId="0" applyFont="1" applyBorder="1" applyAlignment="1">
      <alignment horizontal="left" vertical="center" wrapText="1"/>
    </xf>
    <xf numFmtId="0" fontId="14" fillId="3" borderId="12" xfId="0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vertical="center" wrapText="1"/>
    </xf>
    <xf numFmtId="14" fontId="13" fillId="8" borderId="23" xfId="0" applyNumberFormat="1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vertical="center"/>
    </xf>
    <xf numFmtId="0" fontId="13" fillId="8" borderId="23" xfId="0" applyFont="1" applyFill="1" applyBorder="1" applyAlignment="1">
      <alignment vertical="center" wrapText="1"/>
    </xf>
    <xf numFmtId="8" fontId="13" fillId="0" borderId="16" xfId="0" applyNumberFormat="1" applyFont="1" applyBorder="1" applyAlignment="1">
      <alignment vertical="center"/>
    </xf>
    <xf numFmtId="0" fontId="13" fillId="8" borderId="16" xfId="0" applyFont="1" applyFill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64" fontId="13" fillId="0" borderId="14" xfId="0" applyNumberFormat="1" applyFont="1" applyBorder="1" applyAlignment="1">
      <alignment vertical="center" wrapText="1"/>
    </xf>
    <xf numFmtId="0" fontId="13" fillId="0" borderId="18" xfId="0" applyFont="1" applyBorder="1" applyAlignment="1">
      <alignment horizontal="left" vertical="center" wrapText="1"/>
    </xf>
    <xf numFmtId="14" fontId="13" fillId="0" borderId="13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168" fontId="13" fillId="0" borderId="10" xfId="0" applyNumberFormat="1" applyFont="1" applyBorder="1" applyAlignment="1">
      <alignment vertical="center" wrapText="1"/>
    </xf>
    <xf numFmtId="164" fontId="13" fillId="0" borderId="10" xfId="1" applyNumberFormat="1" applyFont="1" applyBorder="1" applyAlignment="1">
      <alignment horizontal="right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14" fontId="13" fillId="0" borderId="13" xfId="0" applyNumberFormat="1" applyFont="1" applyBorder="1" applyAlignment="1">
      <alignment horizontal="center" vertical="center" wrapText="1"/>
    </xf>
    <xf numFmtId="167" fontId="13" fillId="0" borderId="13" xfId="0" applyNumberFormat="1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13" fillId="0" borderId="2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8" fontId="13" fillId="0" borderId="15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164" fontId="13" fillId="0" borderId="2" xfId="1" applyNumberFormat="1" applyFont="1" applyBorder="1" applyAlignment="1">
      <alignment horizontal="right" vertical="center" wrapText="1"/>
    </xf>
    <xf numFmtId="164" fontId="13" fillId="3" borderId="2" xfId="0" applyNumberFormat="1" applyFont="1" applyFill="1" applyBorder="1" applyAlignment="1">
      <alignment horizontal="right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8" fontId="13" fillId="0" borderId="10" xfId="0" applyNumberFormat="1" applyFont="1" applyFill="1" applyBorder="1" applyAlignment="1">
      <alignment horizontal="right" vertical="center" wrapText="1"/>
    </xf>
    <xf numFmtId="165" fontId="13" fillId="0" borderId="10" xfId="0" applyNumberFormat="1" applyFont="1" applyFill="1" applyBorder="1" applyAlignment="1">
      <alignment horizontal="right" vertical="center" wrapText="1"/>
    </xf>
    <xf numFmtId="8" fontId="13" fillId="0" borderId="10" xfId="0" applyNumberFormat="1" applyFont="1" applyFill="1" applyBorder="1" applyAlignment="1">
      <alignment vertical="center" wrapText="1"/>
    </xf>
    <xf numFmtId="168" fontId="13" fillId="0" borderId="10" xfId="0" applyNumberFormat="1" applyFont="1" applyFill="1" applyBorder="1" applyAlignment="1">
      <alignment vertical="center" wrapText="1"/>
    </xf>
    <xf numFmtId="0" fontId="13" fillId="8" borderId="15" xfId="0" applyFont="1" applyFill="1" applyBorder="1" applyAlignment="1">
      <alignment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left" vertical="center" wrapText="1"/>
    </xf>
    <xf numFmtId="0" fontId="23" fillId="0" borderId="27" xfId="0" applyFont="1" applyBorder="1" applyAlignment="1">
      <alignment vertical="center"/>
    </xf>
    <xf numFmtId="167" fontId="23" fillId="0" borderId="0" xfId="0" applyNumberFormat="1" applyFont="1" applyAlignment="1">
      <alignment horizontal="left" vertical="center"/>
    </xf>
    <xf numFmtId="0" fontId="14" fillId="0" borderId="12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</cellXfs>
  <cellStyles count="4">
    <cellStyle name="Dobry" xfId="2" builtinId="26"/>
    <cellStyle name="Hyperlink" xfId="3" xr:uid="{00000000-0005-0000-0000-000001000000}"/>
    <cellStyle name="Normalny" xfId="0" builtinId="0"/>
    <cellStyle name="Walutowy" xfId="1" builtinId="4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167" formatCode="[$-415]mmmm\ yy;@"/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165" formatCode="#,##0.00\ [$€-1]"/>
      <alignment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.00\ &quot;zł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164" formatCode="#,##0.00\ &quot;zł&quot;"/>
      <alignment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0" formatCode="General"/>
      <alignment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0" formatCode="General"/>
      <alignment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charset val="238"/>
        <scheme val="none"/>
      </font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theme="0"/>
        <name val="Arial"/>
      </font>
      <fill>
        <patternFill patternType="solid">
          <fgColor indexed="64"/>
          <bgColor theme="8" tint="-0.249977111117893"/>
        </patternFill>
      </fill>
      <alignment horizont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zaks/AppData/Local/Microsoft/Windows/INetCache/Content.Outlook/2LMNI15S/Harmonogram%20nabor&#243;w%20wniosk&#243;w%20FESL%20ostatecz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naborów wniosków"/>
      <sheetName val="Monitoring"/>
      <sheetName val="lista"/>
      <sheetName val="Harmonogram naborów wniosków FE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Widok1" id="{FB0E163F-830E-47CC-88F6-C58718D57CF2}">
    <nsvFilter filterId="{00000000-0009-0000-0100-000001000000}" ref="A1:P107" tableId="1">
      <columnFilter colId="13" id="{00000000-0010-0000-0000-00000D000000}">
        <filter colId="13">
          <x:filters>
            <x:filter val="Wojewódzki Urząd Pracy"/>
          </x:filters>
        </filter>
      </columnFilter>
    </nsvFilter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Marczak Sylwia" id="{37B5A2D1-153B-4154-9EA3-1D7827929240}" userId="S::marczaks@slaskie.pl::3596e683-75da-4961-b6f9-17451fae8c86" providerId="AD"/>
  <person displayName="Gość" id="{3E33F172-20F3-42C3-9043-1794FBEB6135}" userId="S::urn:spo:anon#25b6d35e84807f36f6e3cee508302703b9b2207987231d4418f977cf6479ae29::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P107" totalsRowShown="0" headerRowDxfId="44" dataDxfId="42" headerRowBorderDxfId="43" tableBorderDxfId="41" totalsRowBorderDxfId="40">
  <autoFilter ref="A1:P107" xr:uid="{00000000-0009-0000-0100-000001000000}"/>
  <tableColumns count="16">
    <tableColumn id="1" xr3:uid="{00000000-0010-0000-0000-000001000000}" name="CS" dataDxfId="39" totalsRowDxfId="38">
      <calculatedColumnFormula>_xlfn.IFNA(VLOOKUP(Tabela1[[#This Row],[NR DZIAŁANIA]],lista!$A$2:$E$111,2,FALSE),"")</calculatedColumnFormula>
    </tableColumn>
    <tableColumn id="2" xr3:uid="{00000000-0010-0000-0000-000002000000}" name="NAZWA CELU SZCZEGÓŁOWEGO" dataDxfId="37" totalsRowDxfId="36">
      <calculatedColumnFormula>_xlfn.IFNA(VLOOKUP(Tabela1[[#This Row],[NR DZIAŁANIA]],lista!$A$2:$E$111,3,FALSE),"")</calculatedColumnFormula>
    </tableColumn>
    <tableColumn id="3" xr3:uid="{00000000-0010-0000-0000-000003000000}" name="NR DZIAŁANIA" dataDxfId="35" totalsRowDxfId="34"/>
    <tableColumn id="4" xr3:uid="{00000000-0010-0000-0000-000004000000}" name="NAZWA DZIAŁANIA" dataDxfId="33" totalsRowDxfId="32">
      <calculatedColumnFormula>_xlfn.IFNA(VLOOKUP(Tabela1[[#This Row],[NR DZIAŁANIA]],lista!$A$2:$E$111,4,FALSE),"")</calculatedColumnFormula>
    </tableColumn>
    <tableColumn id="15" xr3:uid="{00000000-0010-0000-0000-00000F000000}" name="TYTUŁ NABORU" dataDxfId="31" totalsRowDxfId="30"/>
    <tableColumn id="5" xr3:uid="{00000000-0010-0000-0000-000005000000}" name=" TERMIN ROZPOCZĘCIA NABORU" dataDxfId="29" totalsRowDxfId="28"/>
    <tableColumn id="6" xr3:uid="{00000000-0010-0000-0000-000006000000}" name=" TERMIN ZAKOŃCZENIA NABORU " dataDxfId="27" totalsRowDxfId="26"/>
    <tableColumn id="7" xr3:uid="{00000000-0010-0000-0000-000007000000}" name="TYP PROJEKTÓW" dataDxfId="25" totalsRowDxfId="24"/>
    <tableColumn id="8" xr3:uid="{00000000-0010-0000-0000-000008000000}" name="WNIOSKODAWCA" dataDxfId="23" totalsRowDxfId="22"/>
    <tableColumn id="9" xr3:uid="{00000000-0010-0000-0000-000009000000}" name="KWOTA PRZEZNACZONA NA DOFINANSOWANIE PROJEKTÓW [PLN]" dataDxfId="21" totalsRowDxfId="20"/>
    <tableColumn id="10" xr3:uid="{00000000-0010-0000-0000-00000A000000}" name="KWOTA PRZEZNACZONA NA DOFINANSOWANIE PROJEKTÓW [EUR]" dataDxfId="19" totalsRowDxfId="18">
      <calculatedColumnFormula>Tabela1[[#This Row],[KWOTA PRZEZNACZONA NA DOFINANSOWANIE PROJEKTÓW '[PLN']]]/4.45</calculatedColumnFormula>
    </tableColumn>
    <tableColumn id="11" xr3:uid="{00000000-0010-0000-0000-00000B000000}" name="SPOSÓB WYBORU" dataDxfId="17" totalsRowDxfId="16"/>
    <tableColumn id="12" xr3:uid="{00000000-0010-0000-0000-00000C000000}" name="OBSZAR GEOGRAFICZNY" dataDxfId="15" totalsRowDxfId="14"/>
    <tableColumn id="13" xr3:uid="{00000000-0010-0000-0000-00000D000000}" name="INSTYTUCJA OGŁASZAJĄCA NABÓR" dataDxfId="13" totalsRowDxfId="12">
      <calculatedColumnFormula>_xlfn.IFNA(VLOOKUP(Tabela1[[#This Row],[NR DZIAŁANIA]],lista!$A$2:$E$111,5,FALSE),"")</calculatedColumnFormula>
    </tableColumn>
    <tableColumn id="14" xr3:uid="{00000000-0010-0000-0000-00000E000000}" name="DODATKOWE INFORMACJE" dataDxfId="11" totalsRowDxfId="10"/>
    <tableColumn id="16" xr3:uid="{00000000-0010-0000-0000-000010000000}" name="Kolumna1" dataDxfId="9" totalsRowDxfId="8">
      <calculatedColumnFormula>F2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1:E111" totalsRowShown="0" headerRowBorderDxfId="7" tableBorderDxfId="6" totalsRowBorderDxfId="5">
  <autoFilter ref="A1:E111" xr:uid="{00000000-0009-0000-0100-000002000000}"/>
  <tableColumns count="5">
    <tableColumn id="1" xr3:uid="{00000000-0010-0000-0100-000001000000}" name="D" dataDxfId="4"/>
    <tableColumn id="2" xr3:uid="{00000000-0010-0000-0100-000002000000}" name="RSO" dataDxfId="3"/>
    <tableColumn id="3" xr3:uid="{00000000-0010-0000-0100-000003000000}" name="RSO.T" dataDxfId="2"/>
    <tableColumn id="4" xr3:uid="{00000000-0010-0000-0100-000004000000}" name="D.T" dataDxfId="1"/>
    <tableColumn id="5" xr3:uid="{00000000-0010-0000-0100-000005000000}" name="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4-05-28T06:31:01.83" personId="{37B5A2D1-153B-4154-9EA3-1D7827929240}" id="{34749051-77DF-408B-960D-955FE2C0FDB1}">
    <text>jeśli w danym działaniu będzie więcej niż jeden nabór</text>
  </threadedComment>
  <threadedComment ref="F1" dT="2023-06-12T10:02:28.66" personId="{37B5A2D1-153B-4154-9EA3-1D7827929240}" id="{BD05B4E9-533D-442C-BF1E-4587BF569BF0}">
    <text>Termin rozpoczęcia naborów zaplanowanych w okresie wcześniejszym niż 3 miesiące od opracowania lub aktualizacji harmonogramu jest podawany z dokładnością co do dnia. Termin naborów zaplanowanych w okresie późniejszym niż 3 miesiące i wcześniejszym niż 12 miesięcy od opracowania lub aktualizacji harmonogramu może być podawany
z dokładnością co do dnia lub miesiąca (dd.mm.rrrr)</text>
  </threadedComment>
  <threadedComment ref="G1" dT="2023-06-12T10:02:54.42" personId="{37B5A2D1-153B-4154-9EA3-1D7827929240}" id="{163B21B8-0858-4D5B-911D-8A18C8A84CF0}">
    <text>Termin zakończenia naborów zaplanowanych w okresie wcześniejszym niż 3 miesiące od opracowania lub aktualizacji
harmonogramu jest podawany z dokładnością co do dnia. Termin naborów zaplanowanych w okresie późniejszym niż 3 miesiące i wcześniejszym niż 12 miesięcy od opracowania lub aktualizacji harmonogramu może być podawany
z dokładnością co do dnia lub miesiąca (dd.mm.rrrr)</text>
  </threadedComment>
  <threadedComment ref="H1" dT="2023-06-12T10:03:31.05" personId="{37B5A2D1-153B-4154-9EA3-1D7827929240}" id="{8D4BBC90-638A-44F4-9408-5EF4570D2CFA}">
    <text>Wskazane typy powinny być spójne z informacjami wskazanymi w SZOP</text>
  </threadedComment>
  <threadedComment ref="I1" dT="2023-06-12T10:03:59.38" personId="{37B5A2D1-153B-4154-9EA3-1D7827929240}" id="{BC391831-FCC2-4AB9-A3AB-4986CA7BE373}">
    <text>Należy wskazać typy ogólne spośród takich jak: przedsiębiorstwa, osoby fizyczne, administracja publiczna, przedsiębiorstwa realizujące cele publiczne, instytucje wspierające biznes, partnerstwa, służby publiczne inne niż administracja, instytucje ochrony zdrowia, rolnicy, rybacy, organizacje społeczne i związki wyznaniowe, instytucje nauki i edukacji</text>
  </threadedComment>
  <threadedComment ref="J1" dT="2023-06-12T10:01:13.47" personId="{37B5A2D1-153B-4154-9EA3-1D7827929240}" id="{3D1B4332-33C8-4241-B65F-BE3865DD3D72}">
    <text>Środki UE w PLN</text>
  </threadedComment>
  <threadedComment ref="K1" dT="2023-06-12T10:01:29.09" personId="{37B5A2D1-153B-4154-9EA3-1D7827929240}" id="{78DEE236-C0EF-40DE-BC70-BFA4EB63E65C}">
    <text>Środki UE w EUR</text>
  </threadedComment>
  <threadedComment ref="H76" dT="2024-12-04T14:00:32.31" personId="{3E33F172-20F3-42C3-9043-1794FBEB6135}" id="{DEC2DF2C-2236-4C25-8CC3-F47C5FF507BA}">
    <text>Brak ostatecznej informacji ze strony IZ w zakresie nazwy typu projektu. W związku z czym może ona ulec zmianie.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microsoft.com/office/2017/10/relationships/threadedComment" Target="../threadedComments/threadedComment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9/04/relationships/namedSheetView" Target="../namedSheetViews/namedSheetView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7"/>
  <sheetViews>
    <sheetView showGridLines="0" tabSelected="1" topLeftCell="A56" zoomScale="50" zoomScaleNormal="50" zoomScalePageLayoutView="40" workbookViewId="0">
      <selection activeCell="B56" sqref="B56"/>
    </sheetView>
  </sheetViews>
  <sheetFormatPr defaultRowHeight="15.6" outlineLevelCol="1" x14ac:dyDescent="0.3"/>
  <cols>
    <col min="1" max="1" width="11.44140625" style="24" customWidth="1" outlineLevel="1"/>
    <col min="2" max="2" width="47" style="25" customWidth="1" outlineLevel="1"/>
    <col min="3" max="3" width="13.88671875" style="26" customWidth="1"/>
    <col min="4" max="4" width="28.5546875" style="25" customWidth="1"/>
    <col min="5" max="5" width="28.5546875" style="81" customWidth="1"/>
    <col min="6" max="6" width="19" style="35" customWidth="1"/>
    <col min="7" max="7" width="21.6640625" style="35" customWidth="1"/>
    <col min="8" max="8" width="74.5546875" customWidth="1" outlineLevel="1"/>
    <col min="9" max="9" width="48.5546875" customWidth="1" outlineLevel="1"/>
    <col min="10" max="10" width="25.88671875" style="43" customWidth="1"/>
    <col min="11" max="11" width="26.109375" style="43" customWidth="1"/>
    <col min="12" max="12" width="22.109375" customWidth="1" outlineLevel="1"/>
    <col min="13" max="13" width="30.6640625" customWidth="1" outlineLevel="1"/>
    <col min="14" max="14" width="32.5546875" style="41" customWidth="1" outlineLevel="1"/>
    <col min="15" max="15" width="56.44140625" customWidth="1" outlineLevel="1"/>
    <col min="16" max="16" width="27.109375" style="3" hidden="1" customWidth="1"/>
    <col min="17" max="17" width="14.33203125" bestFit="1" customWidth="1"/>
  </cols>
  <sheetData>
    <row r="1" spans="1:16" s="45" customFormat="1" ht="93.75" customHeight="1" x14ac:dyDescent="0.35">
      <c r="A1" s="168" t="s">
        <v>0</v>
      </c>
      <c r="B1" s="169" t="s">
        <v>1</v>
      </c>
      <c r="C1" s="170" t="s">
        <v>2</v>
      </c>
      <c r="D1" s="170" t="s">
        <v>3</v>
      </c>
      <c r="E1" s="170" t="s">
        <v>4</v>
      </c>
      <c r="F1" s="169" t="s">
        <v>5</v>
      </c>
      <c r="G1" s="170" t="s">
        <v>6</v>
      </c>
      <c r="H1" s="169" t="s">
        <v>7</v>
      </c>
      <c r="I1" s="169" t="s">
        <v>8</v>
      </c>
      <c r="J1" s="171" t="s">
        <v>9</v>
      </c>
      <c r="K1" s="172" t="s">
        <v>10</v>
      </c>
      <c r="L1" s="169" t="s">
        <v>11</v>
      </c>
      <c r="M1" s="169" t="s">
        <v>12</v>
      </c>
      <c r="N1" s="169" t="s">
        <v>13</v>
      </c>
      <c r="O1" s="208" t="s">
        <v>14</v>
      </c>
      <c r="P1" s="237" t="s">
        <v>15</v>
      </c>
    </row>
    <row r="2" spans="1:16" ht="34.950000000000003" customHeight="1" x14ac:dyDescent="0.3">
      <c r="A2" s="132" t="s">
        <v>16</v>
      </c>
      <c r="B2" s="133"/>
      <c r="C2" s="134"/>
      <c r="D2" s="135"/>
      <c r="E2" s="136"/>
      <c r="F2" s="137"/>
      <c r="G2" s="137"/>
      <c r="H2" s="133"/>
      <c r="I2" s="138"/>
      <c r="J2" s="139"/>
      <c r="K2" s="175"/>
      <c r="L2" s="137"/>
      <c r="M2" s="140"/>
      <c r="N2" s="133"/>
      <c r="O2" s="209"/>
      <c r="P2" s="238"/>
    </row>
    <row r="3" spans="1:16" ht="336.6" customHeight="1" x14ac:dyDescent="0.3">
      <c r="A3" s="126" t="str">
        <f>_xlfn.IFNA(VLOOKUP(Tabela1[[#This Row],[NR DZIAŁANIA]],lista!$A$2:$E$111,2,FALSE),"")</f>
        <v>RSO1.1</v>
      </c>
      <c r="B3" s="127" t="str">
        <f>_xlfn.IFNA(VLOOKUP(Tabela1[[#This Row],[NR DZIAŁANIA]],lista!$A$2:$E$111,3,FALSE),"")</f>
        <v xml:space="preserve">Rozwijanie i wzmacnianie zdolności badawczych i innowacyjnych oraz wykorzystywanie zaawansowanych technologii </v>
      </c>
      <c r="C3" s="128" t="s">
        <v>17</v>
      </c>
      <c r="D3" s="127" t="str">
        <f>_xlfn.IFNA(VLOOKUP(Tabela1[[#This Row],[NR DZIAŁANIA]],lista!$A$2:$E$111,4,FALSE),"")</f>
        <v>Badania, rozwój i innowacje w przedsiębiorstwach</v>
      </c>
      <c r="E3" s="129"/>
      <c r="F3" s="235">
        <v>45901</v>
      </c>
      <c r="G3" s="236">
        <v>45931</v>
      </c>
      <c r="H3" s="149" t="s">
        <v>18</v>
      </c>
      <c r="I3" s="131" t="s">
        <v>19</v>
      </c>
      <c r="J3" s="152">
        <v>93005000</v>
      </c>
      <c r="K3" s="144">
        <f>Tabela1[[#This Row],[KWOTA PRZEZNACZONA NA DOFINANSOWANIE PROJEKTÓW '[PLN']]]/4.45</f>
        <v>20900000</v>
      </c>
      <c r="L3" s="173" t="s">
        <v>20</v>
      </c>
      <c r="M3" s="174" t="s">
        <v>21</v>
      </c>
      <c r="N3" s="130" t="str">
        <f>_xlfn.IFNA(VLOOKUP(Tabela1[[#This Row],[NR DZIAŁANIA]],lista!$A$2:$E$111,5,FALSE),"")</f>
        <v>Śląskie Centrum Przedsiębiorczości</v>
      </c>
      <c r="O3" s="210" t="s">
        <v>22</v>
      </c>
      <c r="P3" s="238">
        <f t="shared" ref="P3:P39" si="0">F3</f>
        <v>45901</v>
      </c>
    </row>
    <row r="4" spans="1:16" ht="34.950000000000003" customHeight="1" x14ac:dyDescent="0.3">
      <c r="A4" s="132" t="s">
        <v>23</v>
      </c>
      <c r="B4" s="150"/>
      <c r="C4" s="136"/>
      <c r="D4" s="136"/>
      <c r="E4" s="136"/>
      <c r="F4" s="137"/>
      <c r="G4" s="137"/>
      <c r="H4" s="150"/>
      <c r="I4" s="138"/>
      <c r="J4" s="110"/>
      <c r="K4" s="110"/>
      <c r="L4" s="137"/>
      <c r="M4" s="140"/>
      <c r="N4" s="133"/>
      <c r="O4" s="211"/>
      <c r="P4" s="238"/>
    </row>
    <row r="5" spans="1:16" ht="153.75" customHeight="1" x14ac:dyDescent="0.3">
      <c r="A5" s="79" t="str">
        <f>_xlfn.IFNA(VLOOKUP(Tabela1[[#This Row],[NR DZIAŁANIA]],lista!$A$2:$E$111,2,FALSE),"")</f>
        <v>RSO2.1</v>
      </c>
      <c r="B5" s="47" t="str">
        <f>_xlfn.IFNA(VLOOKUP(Tabela1[[#This Row],[NR DZIAŁANIA]],lista!$A$2:$E$111,3,FALSE),"")</f>
        <v>Wspieranie efektywności energetycznej i redukcji emisji gazów cieplarnianych</v>
      </c>
      <c r="C5" s="49" t="s">
        <v>24</v>
      </c>
      <c r="D5" s="47" t="str">
        <f>_xlfn.IFNA(VLOOKUP(Tabela1[[#This Row],[NR DZIAŁANIA]],lista!$A$2:$E$111,4,FALSE),"")</f>
        <v xml:space="preserve">Efektywność energetyczna budynków użyteczności publicznej </v>
      </c>
      <c r="E5" s="68" t="s">
        <v>25</v>
      </c>
      <c r="F5" s="251">
        <v>45596</v>
      </c>
      <c r="G5" s="60">
        <v>45688</v>
      </c>
      <c r="H5" s="47" t="s">
        <v>26</v>
      </c>
      <c r="I5" s="47" t="s">
        <v>27</v>
      </c>
      <c r="J5" s="64">
        <v>23410754.460000001</v>
      </c>
      <c r="K5" s="61">
        <f>Tabela1[[#This Row],[KWOTA PRZEZNACZONA NA DOFINANSOWANIE PROJEKTÓW '[PLN']]]/4.45</f>
        <v>5260843.6988764042</v>
      </c>
      <c r="L5" s="62" t="s">
        <v>20</v>
      </c>
      <c r="M5" s="63" t="s">
        <v>21</v>
      </c>
      <c r="N5" s="47" t="str">
        <f>_xlfn.IFNA(VLOOKUP(Tabela1[[#This Row],[NR DZIAŁANIA]],lista!$A$2:$E$111,5,FALSE),"")</f>
        <v>Departament Europejskiego Funduszu Rozwoju Regionalnego</v>
      </c>
      <c r="O5" s="228"/>
      <c r="P5" s="238">
        <f t="shared" si="0"/>
        <v>45596</v>
      </c>
    </row>
    <row r="6" spans="1:16" s="42" customFormat="1" ht="149.25" customHeight="1" x14ac:dyDescent="0.3">
      <c r="A6" s="79" t="str">
        <f>_xlfn.IFNA(VLOOKUP(Tabela1[[#This Row],[NR DZIAŁANIA]],lista!$A$2:$E$111,2,FALSE),"")</f>
        <v>RSO2.1</v>
      </c>
      <c r="B6" s="47" t="str">
        <f>_xlfn.IFNA(VLOOKUP(Tabela1[[#This Row],[NR DZIAŁANIA]],lista!$A$2:$E$111,3,FALSE),"")</f>
        <v>Wspieranie efektywności energetycznej i redukcji emisji gazów cieplarnianych</v>
      </c>
      <c r="C6" s="49" t="s">
        <v>28</v>
      </c>
      <c r="D6" s="48" t="str">
        <f>_xlfn.IFNA(VLOOKUP(Tabela1[[#This Row],[NR DZIAŁANIA]],lista!$A$2:$E$111,4,FALSE),"")</f>
        <v>Efektywność energetyczna budynków użyteczności publicznej - ZIT</v>
      </c>
      <c r="E6" s="68" t="s">
        <v>29</v>
      </c>
      <c r="F6" s="60">
        <v>45869</v>
      </c>
      <c r="G6" s="60">
        <v>45961</v>
      </c>
      <c r="H6" s="47" t="s">
        <v>26</v>
      </c>
      <c r="I6" s="52" t="s">
        <v>30</v>
      </c>
      <c r="J6" s="50">
        <v>111861386.15000001</v>
      </c>
      <c r="K6" s="65">
        <f>Tabela1[[#This Row],[KWOTA PRZEZNACZONA NA DOFINANSOWANIE PROJEKTÓW '[PLN']]]/4.45</f>
        <v>25137390.146067414</v>
      </c>
      <c r="L6" s="62" t="s">
        <v>20</v>
      </c>
      <c r="M6" s="52" t="s">
        <v>31</v>
      </c>
      <c r="N6" s="47" t="str">
        <f>_xlfn.IFNA(VLOOKUP(Tabela1[[#This Row],[NR DZIAŁANIA]],lista!$A$2:$E$111,5,FALSE),"")</f>
        <v>Departament Europejskiego Funduszu Rozwoju Regionalnego</v>
      </c>
      <c r="O6" s="213"/>
      <c r="P6" s="238">
        <f t="shared" ref="P6:P7" si="1">F6</f>
        <v>45869</v>
      </c>
    </row>
    <row r="7" spans="1:16" s="42" customFormat="1" ht="149.25" customHeight="1" x14ac:dyDescent="0.3">
      <c r="A7" s="79" t="str">
        <f>_xlfn.IFNA(VLOOKUP(Tabela1[[#This Row],[NR DZIAŁANIA]],lista!$A$2:$E$111,2,FALSE),"")</f>
        <v>RSO2.1</v>
      </c>
      <c r="B7" s="47" t="str">
        <f>_xlfn.IFNA(VLOOKUP(Tabela1[[#This Row],[NR DZIAŁANIA]],lista!$A$2:$E$111,3,FALSE),"")</f>
        <v>Wspieranie efektywności energetycznej i redukcji emisji gazów cieplarnianych</v>
      </c>
      <c r="C7" s="49" t="s">
        <v>28</v>
      </c>
      <c r="D7" s="48" t="str">
        <f>_xlfn.IFNA(VLOOKUP(Tabela1[[#This Row],[NR DZIAŁANIA]],lista!$A$2:$E$111,4,FALSE),"")</f>
        <v>Efektywność energetyczna budynków użyteczności publicznej - ZIT</v>
      </c>
      <c r="E7" s="68" t="s">
        <v>32</v>
      </c>
      <c r="F7" s="60">
        <v>45869</v>
      </c>
      <c r="G7" s="60">
        <v>45961</v>
      </c>
      <c r="H7" s="47" t="s">
        <v>26</v>
      </c>
      <c r="I7" s="52" t="s">
        <v>30</v>
      </c>
      <c r="J7" s="50">
        <v>26700000</v>
      </c>
      <c r="K7" s="65">
        <f>Tabela1[[#This Row],[KWOTA PRZEZNACZONA NA DOFINANSOWANIE PROJEKTÓW '[PLN']]]/4.45</f>
        <v>6000000</v>
      </c>
      <c r="L7" s="62" t="s">
        <v>20</v>
      </c>
      <c r="M7" s="52" t="s">
        <v>33</v>
      </c>
      <c r="N7" s="47" t="str">
        <f>_xlfn.IFNA(VLOOKUP(Tabela1[[#This Row],[NR DZIAŁANIA]],lista!$A$2:$E$111,5,FALSE),"")</f>
        <v>Departament Europejskiego Funduszu Rozwoju Regionalnego</v>
      </c>
      <c r="O7" s="213"/>
      <c r="P7" s="238">
        <f t="shared" si="1"/>
        <v>45869</v>
      </c>
    </row>
    <row r="8" spans="1:16" s="42" customFormat="1" ht="149.25" customHeight="1" x14ac:dyDescent="0.3">
      <c r="A8" s="79" t="str">
        <f>_xlfn.IFNA(VLOOKUP(Tabela1[[#This Row],[NR DZIAŁANIA]],lista!$A$2:$E$111,2,FALSE),"")</f>
        <v>RSO2.1</v>
      </c>
      <c r="B8" s="47" t="str">
        <f>_xlfn.IFNA(VLOOKUP(Tabela1[[#This Row],[NR DZIAŁANIA]],lista!$A$2:$E$111,3,FALSE),"")</f>
        <v>Wspieranie efektywności energetycznej i redukcji emisji gazów cieplarnianych</v>
      </c>
      <c r="C8" s="49" t="s">
        <v>34</v>
      </c>
      <c r="D8" s="48" t="str">
        <f>_xlfn.IFNA(VLOOKUP(Tabela1[[#This Row],[NR DZIAŁANIA]],lista!$A$2:$E$111,4,FALSE),"")</f>
        <v>Efektywność energetyczna budynków mieszkalnych - ZIT</v>
      </c>
      <c r="E8" s="68" t="s">
        <v>35</v>
      </c>
      <c r="F8" s="60" t="s">
        <v>36</v>
      </c>
      <c r="G8" s="60" t="s">
        <v>37</v>
      </c>
      <c r="H8" s="47" t="s">
        <v>38</v>
      </c>
      <c r="I8" s="52" t="s">
        <v>39</v>
      </c>
      <c r="J8" s="69">
        <v>45000000</v>
      </c>
      <c r="K8" s="65">
        <f>Tabela1[[#This Row],[KWOTA PRZEZNACZONA NA DOFINANSOWANIE PROJEKTÓW '[PLN']]]/4.45</f>
        <v>10112359.550561797</v>
      </c>
      <c r="L8" s="62" t="s">
        <v>20</v>
      </c>
      <c r="M8" s="52" t="s">
        <v>31</v>
      </c>
      <c r="N8" s="47" t="str">
        <f>_xlfn.IFNA(VLOOKUP(Tabela1[[#This Row],[NR DZIAŁANIA]],lista!$A$2:$E$111,5,FALSE),"")</f>
        <v>Departament Europejskiego Funduszu Rozwoju Regionalnego</v>
      </c>
      <c r="O8" s="213"/>
      <c r="P8" s="238">
        <v>45962</v>
      </c>
    </row>
    <row r="9" spans="1:16" s="42" customFormat="1" ht="149.25" customHeight="1" x14ac:dyDescent="0.3">
      <c r="A9" s="79" t="str">
        <f>_xlfn.IFNA(VLOOKUP(Tabela1[[#This Row],[NR DZIAŁANIA]],lista!$A$2:$E$111,2,FALSE),"")</f>
        <v>RSO2.1</v>
      </c>
      <c r="B9" s="47" t="str">
        <f>_xlfn.IFNA(VLOOKUP(Tabela1[[#This Row],[NR DZIAŁANIA]],lista!$A$2:$E$111,3,FALSE),"")</f>
        <v>Wspieranie efektywności energetycznej i redukcji emisji gazów cieplarnianych</v>
      </c>
      <c r="C9" s="49" t="s">
        <v>34</v>
      </c>
      <c r="D9" s="48" t="str">
        <f>_xlfn.IFNA(VLOOKUP(Tabela1[[#This Row],[NR DZIAŁANIA]],lista!$A$2:$E$111,4,FALSE),"")</f>
        <v>Efektywność energetyczna budynków mieszkalnych - ZIT</v>
      </c>
      <c r="E9" s="68" t="s">
        <v>40</v>
      </c>
      <c r="F9" s="60" t="s">
        <v>36</v>
      </c>
      <c r="G9" s="60" t="s">
        <v>37</v>
      </c>
      <c r="H9" s="47" t="s">
        <v>38</v>
      </c>
      <c r="I9" s="52" t="s">
        <v>39</v>
      </c>
      <c r="J9" s="50">
        <v>19676003.600000001</v>
      </c>
      <c r="K9" s="65">
        <f>Tabela1[[#This Row],[KWOTA PRZEZNACZONA NA DOFINANSOWANIE PROJEKTÓW '[PLN']]]/4.45</f>
        <v>4421573.8426966295</v>
      </c>
      <c r="L9" s="62" t="s">
        <v>20</v>
      </c>
      <c r="M9" s="52" t="s">
        <v>33</v>
      </c>
      <c r="N9" s="47" t="str">
        <f>_xlfn.IFNA(VLOOKUP(Tabela1[[#This Row],[NR DZIAŁANIA]],lista!$A$2:$E$111,5,FALSE),"")</f>
        <v>Departament Europejskiego Funduszu Rozwoju Regionalnego</v>
      </c>
      <c r="O9" s="213"/>
      <c r="P9" s="238">
        <v>45962</v>
      </c>
    </row>
    <row r="10" spans="1:16" s="42" customFormat="1" ht="149.25" customHeight="1" x14ac:dyDescent="0.3">
      <c r="A10" s="79" t="str">
        <f>_xlfn.IFNA(VLOOKUP(Tabela1[[#This Row],[NR DZIAŁANIA]],lista!$A$2:$E$111,2,FALSE),"")</f>
        <v>RSO2.1</v>
      </c>
      <c r="B10" s="47" t="str">
        <f>_xlfn.IFNA(VLOOKUP(Tabela1[[#This Row],[NR DZIAŁANIA]],lista!$A$2:$E$111,3,FALSE),"")</f>
        <v>Wspieranie efektywności energetycznej i redukcji emisji gazów cieplarnianych</v>
      </c>
      <c r="C10" s="49" t="s">
        <v>34</v>
      </c>
      <c r="D10" s="48" t="str">
        <f>_xlfn.IFNA(VLOOKUP(Tabela1[[#This Row],[NR DZIAŁANIA]],lista!$A$2:$E$111,4,FALSE),"")</f>
        <v>Efektywność energetyczna budynków mieszkalnych - ZIT</v>
      </c>
      <c r="E10" s="68" t="s">
        <v>41</v>
      </c>
      <c r="F10" s="60" t="s">
        <v>36</v>
      </c>
      <c r="G10" s="60" t="s">
        <v>37</v>
      </c>
      <c r="H10" s="47" t="s">
        <v>38</v>
      </c>
      <c r="I10" s="52" t="s">
        <v>39</v>
      </c>
      <c r="J10" s="50">
        <v>17709687.25</v>
      </c>
      <c r="K10" s="65">
        <f>Tabela1[[#This Row],[KWOTA PRZEZNACZONA NA DOFINANSOWANIE PROJEKTÓW '[PLN']]]/4.45</f>
        <v>3979705</v>
      </c>
      <c r="L10" s="62" t="s">
        <v>20</v>
      </c>
      <c r="M10" s="52" t="s">
        <v>42</v>
      </c>
      <c r="N10" s="47" t="str">
        <f>_xlfn.IFNA(VLOOKUP(Tabela1[[#This Row],[NR DZIAŁANIA]],lista!$A$2:$E$111,5,FALSE),"")</f>
        <v>Departament Europejskiego Funduszu Rozwoju Regionalnego</v>
      </c>
      <c r="O10" s="213"/>
      <c r="P10" s="238">
        <v>45962</v>
      </c>
    </row>
    <row r="11" spans="1:16" s="42" customFormat="1" ht="149.25" customHeight="1" x14ac:dyDescent="0.3">
      <c r="A11" s="79" t="str">
        <f>_xlfn.IFNA(VLOOKUP(Tabela1[[#This Row],[NR DZIAŁANIA]],lista!$A$2:$E$111,2,FALSE),"")</f>
        <v>RSO2.1</v>
      </c>
      <c r="B11" s="47" t="str">
        <f>_xlfn.IFNA(VLOOKUP(Tabela1[[#This Row],[NR DZIAŁANIA]],lista!$A$2:$E$111,3,FALSE),"")</f>
        <v>Wspieranie efektywności energetycznej i redukcji emisji gazów cieplarnianych</v>
      </c>
      <c r="C11" s="49" t="s">
        <v>34</v>
      </c>
      <c r="D11" s="48" t="str">
        <f>_xlfn.IFNA(VLOOKUP(Tabela1[[#This Row],[NR DZIAŁANIA]],lista!$A$2:$E$111,4,FALSE),"")</f>
        <v>Efektywność energetyczna budynków mieszkalnych - ZIT</v>
      </c>
      <c r="E11" s="68" t="s">
        <v>43</v>
      </c>
      <c r="F11" s="60" t="s">
        <v>36</v>
      </c>
      <c r="G11" s="60" t="s">
        <v>37</v>
      </c>
      <c r="H11" s="47" t="s">
        <v>38</v>
      </c>
      <c r="I11" s="52" t="s">
        <v>39</v>
      </c>
      <c r="J11" s="50">
        <v>20993747.199999999</v>
      </c>
      <c r="K11" s="65">
        <f>Tabela1[[#This Row],[KWOTA PRZEZNACZONA NA DOFINANSOWANIE PROJEKTÓW '[PLN']]]/4.45</f>
        <v>4717696</v>
      </c>
      <c r="L11" s="62" t="s">
        <v>20</v>
      </c>
      <c r="M11" s="52" t="s">
        <v>44</v>
      </c>
      <c r="N11" s="47" t="str">
        <f>_xlfn.IFNA(VLOOKUP(Tabela1[[#This Row],[NR DZIAŁANIA]],lista!$A$2:$E$111,5,FALSE),"")</f>
        <v>Departament Europejskiego Funduszu Rozwoju Regionalnego</v>
      </c>
      <c r="O11" s="213"/>
      <c r="P11" s="238">
        <v>45962</v>
      </c>
    </row>
    <row r="12" spans="1:16" s="42" customFormat="1" ht="149.25" customHeight="1" x14ac:dyDescent="0.3">
      <c r="A12" s="79" t="str">
        <f>_xlfn.IFNA(VLOOKUP(Tabela1[[#This Row],[NR DZIAŁANIA]],lista!$A$2:$E$111,2,FALSE),"")</f>
        <v>RSO2.2</v>
      </c>
      <c r="B12" s="47" t="str">
        <f>_xlfn.IFNA(VLOOKUP(Tabela1[[#This Row],[NR DZIAŁANIA]],lista!$A$2:$E$111,3,FALSE),"")</f>
        <v>Wspieranie energii odnawialnej zgodnie z dyrektywą (UE) 2018/2001, w tym określonymi w niej kryteriami zrównowazonego rozwoju</v>
      </c>
      <c r="C12" s="49" t="s">
        <v>45</v>
      </c>
      <c r="D12" s="48" t="str">
        <f>_xlfn.IFNA(VLOOKUP(Tabela1[[#This Row],[NR DZIAŁANIA]],lista!$A$2:$E$111,4,FALSE),"")</f>
        <v>Odnawialne źródła energii</v>
      </c>
      <c r="E12" s="68" t="s">
        <v>25</v>
      </c>
      <c r="F12" s="60">
        <v>45596</v>
      </c>
      <c r="G12" s="60">
        <v>45688</v>
      </c>
      <c r="H12" s="86" t="s">
        <v>46</v>
      </c>
      <c r="I12" s="47" t="s">
        <v>30</v>
      </c>
      <c r="J12" s="50">
        <v>1825390</v>
      </c>
      <c r="K12" s="65">
        <f>Tabela1[[#This Row],[KWOTA PRZEZNACZONA NA DOFINANSOWANIE PROJEKTÓW '[PLN']]]/4.45</f>
        <v>410200</v>
      </c>
      <c r="L12" s="62" t="s">
        <v>20</v>
      </c>
      <c r="M12" s="47" t="s">
        <v>21</v>
      </c>
      <c r="N12" s="47" t="str">
        <f>_xlfn.IFNA(VLOOKUP(Tabela1[[#This Row],[NR DZIAŁANIA]],lista!$A$2:$E$111,5,FALSE),"")</f>
        <v>Departament Europejskiego Funduszu Rozwoju Regionalnego</v>
      </c>
      <c r="O12" s="212"/>
      <c r="P12" s="238">
        <f t="shared" si="0"/>
        <v>45596</v>
      </c>
    </row>
    <row r="13" spans="1:16" s="42" customFormat="1" ht="180" customHeight="1" x14ac:dyDescent="0.3">
      <c r="A13" s="79" t="str">
        <f>_xlfn.IFNA(VLOOKUP(Tabela1[[#This Row],[NR DZIAŁANIA]],lista!$A$2:$E$111,2,FALSE),"")</f>
        <v>RSO2.4</v>
      </c>
      <c r="B13" s="47" t="str">
        <f>_xlfn.IFNA(VLOOKUP(Tabela1[[#This Row],[NR DZIAŁANIA]],lista!$A$2:$E$111,3,FALSE),"")</f>
        <v xml:space="preserve">Wspieranie przystosowania się do zmiany klimatu i zapobiegania ryzyku związanemu z klęskami żywiołowymi i katastrofami, odporności, z uwzględnieniem podejścia ekosystemowego </v>
      </c>
      <c r="C13" s="49" t="s">
        <v>47</v>
      </c>
      <c r="D13" s="48" t="str">
        <f>_xlfn.IFNA(VLOOKUP(Tabela1[[#This Row],[NR DZIAŁANIA]],lista!$A$2:$E$111,4,FALSE),"")</f>
        <v>Wsparcie dla klimatu</v>
      </c>
      <c r="E13" s="68" t="s">
        <v>48</v>
      </c>
      <c r="F13" s="60">
        <v>45961</v>
      </c>
      <c r="G13" s="239">
        <v>46052</v>
      </c>
      <c r="H13" s="86" t="s">
        <v>49</v>
      </c>
      <c r="I13" s="271" t="s">
        <v>50</v>
      </c>
      <c r="J13" s="50">
        <v>23585000</v>
      </c>
      <c r="K13" s="65">
        <f>Tabela1[[#This Row],[KWOTA PRZEZNACZONA NA DOFINANSOWANIE PROJEKTÓW '[PLN']]]/4.45</f>
        <v>5300000</v>
      </c>
      <c r="L13" s="62" t="s">
        <v>20</v>
      </c>
      <c r="M13" s="47" t="s">
        <v>21</v>
      </c>
      <c r="N13" s="47" t="str">
        <f>_xlfn.IFNA(VLOOKUP(Tabela1[[#This Row],[NR DZIAŁANIA]],lista!$A$2:$E$111,5,FALSE),"")</f>
        <v>Departament Europejskiego Funduszu Rozwoju Regionalnego</v>
      </c>
      <c r="O13" s="47" t="s">
        <v>51</v>
      </c>
      <c r="P13" s="238">
        <f>F13</f>
        <v>45961</v>
      </c>
    </row>
    <row r="14" spans="1:16" s="42" customFormat="1" ht="180" customHeight="1" x14ac:dyDescent="0.3">
      <c r="A14" s="79" t="str">
        <f>_xlfn.IFNA(VLOOKUP(Tabela1[[#This Row],[NR DZIAŁANIA]],lista!$A$2:$E$111,2,FALSE),"")</f>
        <v>RSO2.4</v>
      </c>
      <c r="B14" s="47" t="str">
        <f>_xlfn.IFNA(VLOOKUP(Tabela1[[#This Row],[NR DZIAŁANIA]],lista!$A$2:$E$111,3,FALSE),"")</f>
        <v xml:space="preserve">Wspieranie przystosowania się do zmiany klimatu i zapobiegania ryzyku związanemu z klęskami żywiołowymi i katastrofami, odporności, z uwzględnieniem podejścia ekosystemowego </v>
      </c>
      <c r="C14" s="49" t="s">
        <v>47</v>
      </c>
      <c r="D14" s="48" t="str">
        <f>_xlfn.IFNA(VLOOKUP(Tabela1[[#This Row],[NR DZIAŁANIA]],lista!$A$2:$E$111,4,FALSE),"")</f>
        <v>Wsparcie dla klimatu</v>
      </c>
      <c r="E14" s="68"/>
      <c r="F14" s="60">
        <v>45961</v>
      </c>
      <c r="G14" s="239">
        <v>46052</v>
      </c>
      <c r="H14" s="240" t="s">
        <v>49</v>
      </c>
      <c r="I14" s="47" t="s">
        <v>52</v>
      </c>
      <c r="J14" s="241">
        <v>120150000</v>
      </c>
      <c r="K14" s="65">
        <v>27000000</v>
      </c>
      <c r="L14" s="62" t="s">
        <v>20</v>
      </c>
      <c r="M14" s="47" t="s">
        <v>21</v>
      </c>
      <c r="N14" s="47" t="str">
        <f>_xlfn.IFNA(VLOOKUP(Tabela1[[#This Row],[NR DZIAŁANIA]],lista!$A$2:$E$111,5,FALSE),"")</f>
        <v>Departament Europejskiego Funduszu Rozwoju Regionalnego</v>
      </c>
      <c r="O14" s="212"/>
      <c r="P14" s="238">
        <f>F14</f>
        <v>45961</v>
      </c>
    </row>
    <row r="15" spans="1:16" s="42" customFormat="1" ht="82.8" customHeight="1" x14ac:dyDescent="0.3">
      <c r="A15" s="79" t="str">
        <f>_xlfn.IFNA(VLOOKUP(Tabela1[[#This Row],[NR DZIAŁANIA]],lista!$A$2:$E$111,2,FALSE),"")</f>
        <v>RSO2.4</v>
      </c>
      <c r="B15" s="47" t="str">
        <f>_xlfn.IFNA(VLOOKUP(Tabela1[[#This Row],[NR DZIAŁANIA]],lista!$A$2:$E$111,3,FALSE),"")</f>
        <v xml:space="preserve">Wspieranie przystosowania się do zmiany klimatu i zapobiegania ryzyku związanemu z klęskami żywiołowymi i katastrofami, odporności, z uwzględnieniem podejścia ekosystemowego </v>
      </c>
      <c r="C15" s="49" t="s">
        <v>53</v>
      </c>
      <c r="D15" s="48" t="str">
        <f>_xlfn.IFNA(VLOOKUP(Tabela1[[#This Row],[NR DZIAŁANIA]],lista!$A$2:$E$111,4,FALSE),"")</f>
        <v>Wsparcie dla klimatu - ZIT</v>
      </c>
      <c r="E15" s="68" t="s">
        <v>41</v>
      </c>
      <c r="F15" s="60">
        <v>45838</v>
      </c>
      <c r="G15" s="239">
        <v>45930</v>
      </c>
      <c r="H15" s="47" t="s">
        <v>49</v>
      </c>
      <c r="I15" s="242" t="s">
        <v>52</v>
      </c>
      <c r="J15" s="50">
        <v>36490000</v>
      </c>
      <c r="K15" s="65">
        <f>Tabela1[[#This Row],[KWOTA PRZEZNACZONA NA DOFINANSOWANIE PROJEKTÓW '[PLN']]]/4.45</f>
        <v>8200000</v>
      </c>
      <c r="L15" s="62" t="s">
        <v>20</v>
      </c>
      <c r="M15" s="47" t="s">
        <v>42</v>
      </c>
      <c r="N15" s="47" t="str">
        <f>_xlfn.IFNA(VLOOKUP(Tabela1[[#This Row],[NR DZIAŁANIA]],lista!$A$2:$E$111,5,FALSE),"")</f>
        <v>Departament Europejskiego Funduszu Rozwoju Regionalnego</v>
      </c>
      <c r="O15" s="212"/>
      <c r="P15" s="238">
        <f>F15</f>
        <v>45838</v>
      </c>
    </row>
    <row r="16" spans="1:16" s="42" customFormat="1" ht="171" customHeight="1" x14ac:dyDescent="0.3">
      <c r="A16" s="79" t="str">
        <f>_xlfn.IFNA(VLOOKUP(Tabela1[[#This Row],[NR DZIAŁANIA]],lista!$A$2:$E$111,2,FALSE),"")</f>
        <v>RSO2.5</v>
      </c>
      <c r="B16" s="47" t="s">
        <v>54</v>
      </c>
      <c r="C16" s="49" t="s">
        <v>55</v>
      </c>
      <c r="D16" s="47" t="s">
        <v>56</v>
      </c>
      <c r="E16" s="68"/>
      <c r="F16" s="70">
        <v>45625</v>
      </c>
      <c r="G16" s="70">
        <v>45716</v>
      </c>
      <c r="H16" s="130" t="s">
        <v>57</v>
      </c>
      <c r="I16" s="47" t="s">
        <v>58</v>
      </c>
      <c r="J16" s="67">
        <v>22250000</v>
      </c>
      <c r="K16" s="65">
        <f>Tabela1[[#This Row],[KWOTA PRZEZNACZONA NA DOFINANSOWANIE PROJEKTÓW '[PLN']]]/4.45</f>
        <v>5000000</v>
      </c>
      <c r="L16" s="68" t="s">
        <v>20</v>
      </c>
      <c r="M16" s="47" t="s">
        <v>59</v>
      </c>
      <c r="N16" s="47" t="s">
        <v>60</v>
      </c>
      <c r="O16" s="212" t="s">
        <v>517</v>
      </c>
      <c r="P16" s="238">
        <f t="shared" si="0"/>
        <v>45625</v>
      </c>
    </row>
    <row r="17" spans="1:16" s="42" customFormat="1" ht="171.6" customHeight="1" x14ac:dyDescent="0.3">
      <c r="A17" s="79" t="str">
        <f>_xlfn.IFNA(VLOOKUP(Tabela1[[#This Row],[NR DZIAŁANIA]],lista!$A$2:$E$111,2,FALSE),"")</f>
        <v>RSO2.5</v>
      </c>
      <c r="B17" s="47" t="s">
        <v>54</v>
      </c>
      <c r="C17" s="49" t="s">
        <v>55</v>
      </c>
      <c r="D17" s="47" t="s">
        <v>56</v>
      </c>
      <c r="E17" s="68"/>
      <c r="F17" s="70">
        <v>45625</v>
      </c>
      <c r="G17" s="70">
        <v>45716</v>
      </c>
      <c r="H17" s="47" t="s">
        <v>57</v>
      </c>
      <c r="I17" s="47" t="s">
        <v>58</v>
      </c>
      <c r="J17" s="67">
        <v>37825000</v>
      </c>
      <c r="K17" s="65">
        <f>Tabela1[[#This Row],[KWOTA PRZEZNACZONA NA DOFINANSOWANIE PROJEKTÓW '[PLN']]]/4.45</f>
        <v>8500000</v>
      </c>
      <c r="L17" s="68" t="s">
        <v>20</v>
      </c>
      <c r="M17" s="47" t="s">
        <v>61</v>
      </c>
      <c r="N17" s="47" t="s">
        <v>60</v>
      </c>
      <c r="O17" s="212" t="s">
        <v>517</v>
      </c>
      <c r="P17" s="238">
        <f t="shared" si="0"/>
        <v>45625</v>
      </c>
    </row>
    <row r="18" spans="1:16" ht="161.4" customHeight="1" x14ac:dyDescent="0.3">
      <c r="A18" s="79" t="str">
        <f>_xlfn.IFNA(VLOOKUP(Tabela1[[#This Row],[NR DZIAŁANIA]],lista!$A$2:$E$111,2,FALSE),"")</f>
        <v>RSO2.5</v>
      </c>
      <c r="B18" s="47" t="s">
        <v>54</v>
      </c>
      <c r="C18" s="49" t="s">
        <v>55</v>
      </c>
      <c r="D18" s="47" t="s">
        <v>56</v>
      </c>
      <c r="E18" s="68"/>
      <c r="F18" s="70">
        <v>45716</v>
      </c>
      <c r="G18" s="70">
        <v>45777</v>
      </c>
      <c r="H18" s="47" t="s">
        <v>62</v>
      </c>
      <c r="I18" s="47" t="s">
        <v>58</v>
      </c>
      <c r="J18" s="67">
        <v>17800000</v>
      </c>
      <c r="K18" s="65">
        <f>Tabela1[[#This Row],[KWOTA PRZEZNACZONA NA DOFINANSOWANIE PROJEKTÓW '[PLN']]]/4.45</f>
        <v>4000000</v>
      </c>
      <c r="L18" s="68" t="s">
        <v>20</v>
      </c>
      <c r="M18" s="47" t="s">
        <v>59</v>
      </c>
      <c r="N18" s="47" t="s">
        <v>60</v>
      </c>
      <c r="O18" s="212" t="s">
        <v>520</v>
      </c>
      <c r="P18" s="238">
        <f t="shared" si="0"/>
        <v>45716</v>
      </c>
    </row>
    <row r="19" spans="1:16" ht="84" customHeight="1" x14ac:dyDescent="0.3">
      <c r="A19" s="79" t="str">
        <f>_xlfn.IFNA(VLOOKUP(Tabela1[[#This Row],[NR DZIAŁANIA]],lista!$A$2:$E$111,2,FALSE),"")</f>
        <v>RSO2.6</v>
      </c>
      <c r="B19" s="48" t="str">
        <f>_xlfn.IFNA(VLOOKUP(Tabela1[[#This Row],[NR DZIAŁANIA]],lista!$A$2:$E$111,3,FALSE),"")</f>
        <v>Wspieranie transformacji w kierunku gospodarki o obiegu zamkniętym i gospodarki zasobooszczędnej</v>
      </c>
      <c r="C19" s="49" t="s">
        <v>63</v>
      </c>
      <c r="D19" s="48" t="str">
        <f>_xlfn.IFNA(VLOOKUP(Tabela1[[#This Row],[NR DZIAŁANIA]],lista!$A$2:$E$111,4,FALSE),"")</f>
        <v>Gospodarka odpadami komunalnymi</v>
      </c>
      <c r="E19" s="68"/>
      <c r="F19" s="60">
        <v>45596</v>
      </c>
      <c r="G19" s="60">
        <v>45688</v>
      </c>
      <c r="H19" s="47" t="s">
        <v>64</v>
      </c>
      <c r="I19" s="47" t="s">
        <v>65</v>
      </c>
      <c r="J19" s="69">
        <f xml:space="preserve"> 3787347.45*4.45</f>
        <v>16853696.1525</v>
      </c>
      <c r="K19" s="54">
        <f>Tabela1[[#This Row],[KWOTA PRZEZNACZONA NA DOFINANSOWANIE PROJEKTÓW '[PLN']]]/4.45</f>
        <v>3787347.4499999997</v>
      </c>
      <c r="L19" s="62" t="s">
        <v>20</v>
      </c>
      <c r="M19" s="59" t="s">
        <v>21</v>
      </c>
      <c r="N19" s="47" t="str">
        <f>_xlfn.IFNA(VLOOKUP(Tabela1[[#This Row],[NR DZIAŁANIA]],lista!$A$2:$E$111,5,FALSE),"")</f>
        <v>Departament Europejskiego Funduszu Rozwoju Regionalnego</v>
      </c>
      <c r="O19" s="252"/>
      <c r="P19" s="238">
        <f t="shared" si="0"/>
        <v>45596</v>
      </c>
    </row>
    <row r="20" spans="1:16" s="42" customFormat="1" ht="108.75" customHeight="1" x14ac:dyDescent="0.3">
      <c r="A20" s="79" t="str">
        <f>_xlfn.IFNA(VLOOKUP(Tabela1[[#This Row],[NR DZIAŁANIA]],lista!$A$2:$E$111,2,FALSE),"")</f>
        <v>RSO2.6</v>
      </c>
      <c r="B20" s="48" t="str">
        <f>_xlfn.IFNA(VLOOKUP(Tabela1[[#This Row],[NR DZIAŁANIA]],lista!$A$2:$E$111,3,FALSE),"")</f>
        <v>Wspieranie transformacji w kierunku gospodarki o obiegu zamkniętym i gospodarki zasobooszczędnej</v>
      </c>
      <c r="C20" s="49" t="s">
        <v>63</v>
      </c>
      <c r="D20" s="48" t="str">
        <f>_xlfn.IFNA(VLOOKUP(Tabela1[[#This Row],[NR DZIAŁANIA]],lista!$A$2:$E$111,4,FALSE),"")</f>
        <v>Gospodarka odpadami komunalnymi</v>
      </c>
      <c r="E20" s="68"/>
      <c r="F20" s="123">
        <v>45596</v>
      </c>
      <c r="G20" s="123" t="s">
        <v>66</v>
      </c>
      <c r="H20" s="86" t="s">
        <v>64</v>
      </c>
      <c r="I20" s="86" t="s">
        <v>65</v>
      </c>
      <c r="J20" s="206">
        <v>39418100</v>
      </c>
      <c r="K20" s="54">
        <f>Tabela1[[#This Row],[KWOTA PRZEZNACZONA NA DOFINANSOWANIE PROJEKTÓW '[PLN']]]/4.45</f>
        <v>8858000</v>
      </c>
      <c r="L20" s="62" t="s">
        <v>20</v>
      </c>
      <c r="M20" s="47" t="s">
        <v>521</v>
      </c>
      <c r="N20" s="47" t="str">
        <f>_xlfn.IFNA(VLOOKUP(Tabela1[[#This Row],[NR DZIAŁANIA]],lista!$A$2:$E$111,5,FALSE),"")</f>
        <v>Departament Europejskiego Funduszu Rozwoju Regionalnego</v>
      </c>
      <c r="O20" s="210"/>
      <c r="P20" s="238">
        <f t="shared" si="0"/>
        <v>45596</v>
      </c>
    </row>
    <row r="21" spans="1:16" s="42" customFormat="1" ht="157.19999999999999" customHeight="1" x14ac:dyDescent="0.3">
      <c r="A21" s="79" t="str">
        <f>_xlfn.IFNA(VLOOKUP(Tabela1[[#This Row],[NR DZIAŁANIA]],lista!$A$2:$E$111,2,FALSE),"")</f>
        <v>RSO2.6</v>
      </c>
      <c r="B21" s="48" t="str">
        <f>_xlfn.IFNA(VLOOKUP(Tabela1[[#This Row],[NR DZIAŁANIA]],lista!$A$2:$E$111,3,FALSE),"")</f>
        <v>Wspieranie transformacji w kierunku gospodarki o obiegu zamkniętym i gospodarki zasobooszczędnej</v>
      </c>
      <c r="C21" s="49" t="s">
        <v>63</v>
      </c>
      <c r="D21" s="48" t="str">
        <f>_xlfn.IFNA(VLOOKUP(Tabela1[[#This Row],[NR DZIAŁANIA]],lista!$A$2:$E$111,4,FALSE),"")</f>
        <v>Gospodarka odpadami komunalnymi</v>
      </c>
      <c r="E21" s="292" t="s">
        <v>512</v>
      </c>
      <c r="F21" s="60">
        <v>45807</v>
      </c>
      <c r="G21" s="60">
        <v>45869</v>
      </c>
      <c r="H21" s="47" t="s">
        <v>67</v>
      </c>
      <c r="I21" s="47" t="s">
        <v>68</v>
      </c>
      <c r="J21" s="244">
        <f>Tabela1[[#This Row],[KWOTA PRZEZNACZONA NA DOFINANSOWANIE PROJEKTÓW '[EUR']]]*4.45</f>
        <v>30001900</v>
      </c>
      <c r="K21" s="245">
        <v>6742000</v>
      </c>
      <c r="L21" s="62" t="s">
        <v>69</v>
      </c>
      <c r="M21" s="47" t="s">
        <v>521</v>
      </c>
      <c r="N21" s="47" t="str">
        <f>_xlfn.IFNA(VLOOKUP(Tabela1[[#This Row],[NR DZIAŁANIA]],lista!$A$2:$E$111,5,FALSE),"")</f>
        <v>Departament Europejskiego Funduszu Rozwoju Regionalnego</v>
      </c>
      <c r="O21" s="213"/>
      <c r="P21" s="238">
        <f>F21</f>
        <v>45807</v>
      </c>
    </row>
    <row r="22" spans="1:16" s="42" customFormat="1" ht="78" customHeight="1" x14ac:dyDescent="0.3">
      <c r="A22" s="79" t="str">
        <f>_xlfn.IFNA(VLOOKUP(Tabela1[[#This Row],[NR DZIAŁANIA]],lista!$A$2:$E$111,2,FALSE),"")</f>
        <v>RSO2.6</v>
      </c>
      <c r="B22" s="48" t="str">
        <f>_xlfn.IFNA(VLOOKUP(Tabela1[[#This Row],[NR DZIAŁANIA]],lista!$A$2:$E$111,3,FALSE),"")</f>
        <v>Wspieranie transformacji w kierunku gospodarki o obiegu zamkniętym i gospodarki zasobooszczędnej</v>
      </c>
      <c r="C22" s="49" t="s">
        <v>63</v>
      </c>
      <c r="D22" s="48" t="str">
        <f>_xlfn.IFNA(VLOOKUP(Tabela1[[#This Row],[NR DZIAŁANIA]],lista!$A$2:$E$111,4,FALSE),"")</f>
        <v>Gospodarka odpadami komunalnymi</v>
      </c>
      <c r="E22" s="243"/>
      <c r="F22" s="60">
        <v>45807</v>
      </c>
      <c r="G22" s="60">
        <v>45869</v>
      </c>
      <c r="H22" s="47" t="s">
        <v>67</v>
      </c>
      <c r="I22" s="47" t="s">
        <v>68</v>
      </c>
      <c r="J22" s="244">
        <f>Tabela1[[#This Row],[KWOTA PRZEZNACZONA NA DOFINANSOWANIE PROJEKTÓW '[EUR']]]*4.45</f>
        <v>7176303.8475000001</v>
      </c>
      <c r="K22" s="245">
        <v>1612652.55</v>
      </c>
      <c r="L22" s="62" t="s">
        <v>20</v>
      </c>
      <c r="M22" s="59" t="s">
        <v>21</v>
      </c>
      <c r="N22" s="47" t="str">
        <f>_xlfn.IFNA(VLOOKUP(Tabela1[[#This Row],[NR DZIAŁANIA]],lista!$A$2:$E$111,5,FALSE),"")</f>
        <v>Departament Europejskiego Funduszu Rozwoju Regionalnego</v>
      </c>
      <c r="O22" s="47"/>
      <c r="P22" s="238">
        <f>F22</f>
        <v>45807</v>
      </c>
    </row>
    <row r="23" spans="1:16" s="42" customFormat="1" ht="108.75" customHeight="1" x14ac:dyDescent="0.3">
      <c r="A23" s="79" t="str">
        <f>_xlfn.IFNA(VLOOKUP(Tabela1[[#This Row],[NR DZIAŁANIA]],lista!$A$2:$E$111,2,FALSE),"")</f>
        <v>RSO2.7</v>
      </c>
      <c r="B23" s="48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3" s="49" t="s">
        <v>70</v>
      </c>
      <c r="D23" s="48" t="str">
        <f>_xlfn.IFNA(VLOOKUP(Tabela1[[#This Row],[NR DZIAŁANIA]],lista!$A$2:$E$111,4,FALSE),"")</f>
        <v>Ochrona przyrody i bioróżnorodność</v>
      </c>
      <c r="E23" s="68" t="s">
        <v>25</v>
      </c>
      <c r="F23" s="251">
        <v>45596</v>
      </c>
      <c r="G23" s="270">
        <v>45688</v>
      </c>
      <c r="H23" s="130" t="s">
        <v>71</v>
      </c>
      <c r="I23" s="280" t="s">
        <v>72</v>
      </c>
      <c r="J23" s="281">
        <v>3256065</v>
      </c>
      <c r="K23" s="272">
        <v>731700</v>
      </c>
      <c r="L23" s="62" t="s">
        <v>20</v>
      </c>
      <c r="M23" s="63" t="s">
        <v>21</v>
      </c>
      <c r="N23" s="47" t="str">
        <f>_xlfn.IFNA(VLOOKUP(Tabela1[[#This Row],[NR DZIAŁANIA]],lista!$A$2:$E$111,5,FALSE),"")</f>
        <v>Departament Europejskiego Funduszu Rozwoju Regionalnego</v>
      </c>
      <c r="O23" s="212"/>
      <c r="P23" s="238">
        <f t="shared" si="0"/>
        <v>45596</v>
      </c>
    </row>
    <row r="24" spans="1:16" ht="101.4" customHeight="1" x14ac:dyDescent="0.3">
      <c r="A24" s="79" t="str">
        <f>_xlfn.IFNA(VLOOKUP(Tabela1[[#This Row],[NR DZIAŁANIA]],lista!$A$2:$E$111,2,FALSE),"")</f>
        <v>RSO2.7</v>
      </c>
      <c r="B24" s="48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4" s="49" t="s">
        <v>70</v>
      </c>
      <c r="D24" s="48" t="str">
        <f>_xlfn.IFNA(VLOOKUP(Tabela1[[#This Row],[NR DZIAŁANIA]],lista!$A$2:$E$111,4,FALSE),"")</f>
        <v>Ochrona przyrody i bioróżnorodność</v>
      </c>
      <c r="E24" s="243" t="s">
        <v>73</v>
      </c>
      <c r="F24" s="248">
        <v>45961</v>
      </c>
      <c r="G24" s="248">
        <v>46022</v>
      </c>
      <c r="H24" s="279" t="s">
        <v>71</v>
      </c>
      <c r="I24" s="282" t="s">
        <v>72</v>
      </c>
      <c r="J24" s="283">
        <v>24765000</v>
      </c>
      <c r="K24" s="246">
        <f>Tabela1[[#This Row],[KWOTA PRZEZNACZONA NA DOFINANSOWANIE PROJEKTÓW '[PLN']]]/4.45</f>
        <v>5565168.5393258426</v>
      </c>
      <c r="L24" s="62" t="s">
        <v>20</v>
      </c>
      <c r="M24" s="47" t="s">
        <v>74</v>
      </c>
      <c r="N24" s="47" t="str">
        <f>_xlfn.IFNA(VLOOKUP(Tabela1[[#This Row],[NR DZIAŁANIA]],lista!$A$2:$E$111,5,FALSE),"")</f>
        <v>Departament Europejskiego Funduszu Rozwoju Regionalnego</v>
      </c>
      <c r="O24" s="212"/>
      <c r="P24" s="238">
        <f>F24</f>
        <v>45961</v>
      </c>
    </row>
    <row r="25" spans="1:16" ht="109.2" customHeight="1" x14ac:dyDescent="0.3">
      <c r="A25" s="79" t="str">
        <f>_xlfn.IFNA(VLOOKUP(Tabela1[[#This Row],[NR DZIAŁANIA]],lista!$A$2:$E$111,2,FALSE),"")</f>
        <v>RSO2.7</v>
      </c>
      <c r="B25" s="48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5" s="49" t="s">
        <v>75</v>
      </c>
      <c r="D25" s="48" t="str">
        <f>_xlfn.IFNA(VLOOKUP(Tabela1[[#This Row],[NR DZIAŁANIA]],lista!$A$2:$E$111,4,FALSE),"")</f>
        <v>Ochrona przyrody i bioróżnorodność - ZIT</v>
      </c>
      <c r="E25" s="68" t="s">
        <v>40</v>
      </c>
      <c r="F25" s="142">
        <v>45596</v>
      </c>
      <c r="G25" s="142">
        <v>45747</v>
      </c>
      <c r="H25" s="232" t="s">
        <v>71</v>
      </c>
      <c r="I25" s="282" t="s">
        <v>72</v>
      </c>
      <c r="J25" s="284">
        <v>8900000</v>
      </c>
      <c r="K25" s="246">
        <f>Tabela1[[#This Row],[KWOTA PRZEZNACZONA NA DOFINANSOWANIE PROJEKTÓW '[PLN']]]/4.45</f>
        <v>2000000</v>
      </c>
      <c r="L25" s="62" t="s">
        <v>20</v>
      </c>
      <c r="M25" s="277" t="s">
        <v>33</v>
      </c>
      <c r="N25" s="47" t="str">
        <f>_xlfn.IFNA(VLOOKUP(Tabela1[[#This Row],[NR DZIAŁANIA]],lista!$A$2:$E$111,5,FALSE),"")</f>
        <v>Departament Europejskiego Funduszu Rozwoju Regionalnego</v>
      </c>
      <c r="O25" s="212"/>
      <c r="P25" s="238">
        <f t="shared" si="0"/>
        <v>45596</v>
      </c>
    </row>
    <row r="26" spans="1:16" ht="138.75" customHeight="1" x14ac:dyDescent="0.3">
      <c r="A26" s="79" t="str">
        <f>_xlfn.IFNA(VLOOKUP(Tabela1[[#This Row],[NR DZIAŁANIA]],lista!$A$2:$E$111,2,FALSE),"")</f>
        <v>RSO2.7</v>
      </c>
      <c r="B26" s="48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6" s="49" t="s">
        <v>75</v>
      </c>
      <c r="D26" s="48" t="str">
        <f>_xlfn.IFNA(VLOOKUP(Tabela1[[#This Row],[NR DZIAŁANIA]],lista!$A$2:$E$111,4,FALSE),"")</f>
        <v>Ochrona przyrody i bioróżnorodność - ZIT</v>
      </c>
      <c r="E26" s="68" t="s">
        <v>41</v>
      </c>
      <c r="F26" s="60">
        <v>45596</v>
      </c>
      <c r="G26" s="60" t="s">
        <v>76</v>
      </c>
      <c r="H26" s="47" t="s">
        <v>71</v>
      </c>
      <c r="I26" s="130" t="s">
        <v>72</v>
      </c>
      <c r="J26" s="268">
        <f>2000000*4.45*70%</f>
        <v>6230000</v>
      </c>
      <c r="K26" s="54">
        <f>Tabela1[[#This Row],[KWOTA PRZEZNACZONA NA DOFINANSOWANIE PROJEKTÓW '[PLN']]]/4.45</f>
        <v>1400000</v>
      </c>
      <c r="L26" s="62" t="s">
        <v>20</v>
      </c>
      <c r="M26" s="277" t="s">
        <v>42</v>
      </c>
      <c r="N26" s="47" t="str">
        <f>_xlfn.IFNA(VLOOKUP(Tabela1[[#This Row],[NR DZIAŁANIA]],lista!$A$2:$E$111,5,FALSE),"")</f>
        <v>Departament Europejskiego Funduszu Rozwoju Regionalnego</v>
      </c>
      <c r="O26" s="213"/>
      <c r="P26" s="238">
        <f t="shared" si="0"/>
        <v>45596</v>
      </c>
    </row>
    <row r="27" spans="1:16" ht="123.6" customHeight="1" x14ac:dyDescent="0.3">
      <c r="A27" s="82" t="str">
        <f>_xlfn.IFNA(VLOOKUP(Tabela1[[#This Row],[NR DZIAŁANIA]],lista!$A$2:$E$111,2,FALSE),"")</f>
        <v>RSO2.7</v>
      </c>
      <c r="B27" s="83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7" s="84" t="s">
        <v>75</v>
      </c>
      <c r="D27" s="83" t="str">
        <f>_xlfn.IFNA(VLOOKUP(Tabela1[[#This Row],[NR DZIAŁANIA]],lista!$A$2:$E$111,4,FALSE),"")</f>
        <v>Ochrona przyrody i bioróżnorodność - ZIT</v>
      </c>
      <c r="E27" s="85" t="s">
        <v>43</v>
      </c>
      <c r="F27" s="123">
        <v>45716</v>
      </c>
      <c r="G27" s="123">
        <v>45807</v>
      </c>
      <c r="H27" s="86" t="s">
        <v>71</v>
      </c>
      <c r="I27" s="86" t="s">
        <v>72</v>
      </c>
      <c r="J27" s="166">
        <f>2000000*4.45*70%</f>
        <v>6230000</v>
      </c>
      <c r="K27" s="88">
        <f>Tabela1[[#This Row],[KWOTA PRZEZNACZONA NA DOFINANSOWANIE PROJEKTÓW '[PLN']]]/4.45</f>
        <v>1400000</v>
      </c>
      <c r="L27" s="167" t="s">
        <v>20</v>
      </c>
      <c r="M27" s="278" t="s">
        <v>44</v>
      </c>
      <c r="N27" s="86" t="str">
        <f>_xlfn.IFNA(VLOOKUP(Tabela1[[#This Row],[NR DZIAŁANIA]],lista!$A$2:$E$111,5,FALSE),"")</f>
        <v>Departament Europejskiego Funduszu Rozwoju Regionalnego</v>
      </c>
      <c r="O27" s="253"/>
      <c r="P27" s="238">
        <f t="shared" si="0"/>
        <v>45716</v>
      </c>
    </row>
    <row r="28" spans="1:16" s="42" customFormat="1" ht="83.4" customHeight="1" x14ac:dyDescent="0.3">
      <c r="A28" s="79" t="str">
        <f>_xlfn.IFNA(VLOOKUP(Tabela1[[#This Row],[NR DZIAŁANIA]],lista!$A$2:$E$111,2,FALSE),"")</f>
        <v>RSO2.7</v>
      </c>
      <c r="B28" s="48" t="str">
        <f>_xlfn.IFNA(VLOOKUP(Tabela1[[#This Row],[NR DZIAŁANIA]],lista!$A$2:$E$111,3,FALSE),"")</f>
        <v>Wzmacnianie ochrony i zachowania przyrody, różnorodności biologicznej oraz zielonej infrastruktury, w tym na obszarach miejskich, oraz ograniczanie wszelkich rodzajów zanieczyszczenia</v>
      </c>
      <c r="C28" s="49" t="s">
        <v>77</v>
      </c>
      <c r="D28" s="48" t="str">
        <f>_xlfn.IFNA(VLOOKUP(Tabela1[[#This Row],[NR DZIAŁANIA]],lista!$A$2:$E$111,4,FALSE),"")</f>
        <v>Rekultywacja terenów zdegradowanych</v>
      </c>
      <c r="E28" s="243" t="s">
        <v>78</v>
      </c>
      <c r="F28" s="60">
        <v>45961</v>
      </c>
      <c r="G28" s="60">
        <v>46022</v>
      </c>
      <c r="H28" s="47" t="s">
        <v>79</v>
      </c>
      <c r="I28" s="47" t="s">
        <v>80</v>
      </c>
      <c r="J28" s="273">
        <v>7000000</v>
      </c>
      <c r="K28" s="246">
        <f>Tabela1[[#This Row],[KWOTA PRZEZNACZONA NA DOFINANSOWANIE PROJEKTÓW '[PLN']]]/4.45</f>
        <v>1573033.7078651686</v>
      </c>
      <c r="L28" s="62" t="s">
        <v>20</v>
      </c>
      <c r="M28" s="47" t="s">
        <v>518</v>
      </c>
      <c r="N28" s="47" t="str">
        <f>_xlfn.IFNA(VLOOKUP(Tabela1[[#This Row],[NR DZIAŁANIA]],lista!$A$2:$E$111,5,FALSE),"")</f>
        <v>Departament Europejskiego Funduszu Rozwoju Regionalnego</v>
      </c>
      <c r="O28" s="213" t="s">
        <v>81</v>
      </c>
      <c r="P28" s="238">
        <f>F28</f>
        <v>45961</v>
      </c>
    </row>
    <row r="29" spans="1:16" ht="34.950000000000003" customHeight="1" x14ac:dyDescent="0.3">
      <c r="A29" s="132" t="s">
        <v>82</v>
      </c>
      <c r="B29" s="150"/>
      <c r="C29" s="136"/>
      <c r="D29" s="136"/>
      <c r="E29" s="136"/>
      <c r="F29" s="225"/>
      <c r="G29" s="225"/>
      <c r="H29" s="225"/>
      <c r="I29" s="229"/>
      <c r="J29" s="230"/>
      <c r="K29" s="165"/>
      <c r="L29" s="150"/>
      <c r="M29" s="133"/>
      <c r="N29" s="133"/>
      <c r="O29" s="211"/>
      <c r="P29" s="238"/>
    </row>
    <row r="30" spans="1:16" ht="87.75" customHeight="1" x14ac:dyDescent="0.3">
      <c r="A30" s="126" t="str">
        <f>_xlfn.IFNA(VLOOKUP(Tabela1[[#This Row],[NR DZIAŁANIA]],lista!$A$2:$E$111,2,FALSE),"")</f>
        <v>RSO2.8</v>
      </c>
      <c r="B30" s="127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0" s="128" t="s">
        <v>83</v>
      </c>
      <c r="D30" s="127" t="str">
        <f>_xlfn.IFNA(VLOOKUP(Tabela1[[#This Row],[NR DZIAŁANIA]],lista!$A$2:$E$111,4,FALSE),"")</f>
        <v>Zakup taboru autobusowego/ trolejbusowego - ZIT</v>
      </c>
      <c r="E30" s="129" t="s">
        <v>43</v>
      </c>
      <c r="F30" s="275">
        <v>45565</v>
      </c>
      <c r="G30" s="275" t="s">
        <v>76</v>
      </c>
      <c r="H30" s="130" t="s">
        <v>84</v>
      </c>
      <c r="I30" s="130" t="s">
        <v>85</v>
      </c>
      <c r="J30" s="143">
        <v>22250000</v>
      </c>
      <c r="K30" s="144">
        <f>Tabela1[[#This Row],[KWOTA PRZEZNACZONA NA DOFINANSOWANIE PROJEKTÓW '[PLN']]]/4.45</f>
        <v>5000000</v>
      </c>
      <c r="L30" s="129" t="s">
        <v>20</v>
      </c>
      <c r="M30" s="127" t="s">
        <v>21</v>
      </c>
      <c r="N30" s="130" t="str">
        <f>_xlfn.IFNA(VLOOKUP(Tabela1[[#This Row],[NR DZIAŁANIA]],lista!$A$2:$E$111,5,FALSE),"")</f>
        <v>Departament Europejskiego Funduszu Rozwoju Regionalnego</v>
      </c>
      <c r="O30" s="210"/>
      <c r="P30" s="238">
        <f t="shared" si="0"/>
        <v>45565</v>
      </c>
    </row>
    <row r="31" spans="1:16" ht="82.8" customHeight="1" x14ac:dyDescent="0.3">
      <c r="A31" s="79" t="str">
        <f>_xlfn.IFNA(VLOOKUP(Tabela1[[#This Row],[NR DZIAŁANIA]],lista!$A$2:$E$111,2,FALSE),"")</f>
        <v>RSO2.8</v>
      </c>
      <c r="B31" s="48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1" s="49" t="s">
        <v>83</v>
      </c>
      <c r="D31" s="48" t="str">
        <f>_xlfn.IFNA(VLOOKUP(Tabela1[[#This Row],[NR DZIAŁANIA]],lista!$A$2:$E$111,4,FALSE),"")</f>
        <v>Zakup taboru autobusowego/ trolejbusowego - ZIT</v>
      </c>
      <c r="E31" s="243" t="s">
        <v>35</v>
      </c>
      <c r="F31" s="60">
        <v>45869</v>
      </c>
      <c r="G31" s="60">
        <v>45930</v>
      </c>
      <c r="H31" s="269" t="s">
        <v>86</v>
      </c>
      <c r="I31" s="130" t="s">
        <v>85</v>
      </c>
      <c r="J31" s="58">
        <v>80100000</v>
      </c>
      <c r="K31" s="54">
        <f>Tabela1[[#This Row],[KWOTA PRZEZNACZONA NA DOFINANSOWANIE PROJEKTÓW '[PLN']]]/4.45</f>
        <v>18000000</v>
      </c>
      <c r="L31" s="129" t="s">
        <v>20</v>
      </c>
      <c r="M31" s="127" t="s">
        <v>21</v>
      </c>
      <c r="N31" s="47" t="str">
        <f>_xlfn.IFNA(VLOOKUP(Tabela1[[#This Row],[NR DZIAŁANIA]],lista!$A$2:$E$111,5,FALSE),"")</f>
        <v>Departament Europejskiego Funduszu Rozwoju Regionalnego</v>
      </c>
      <c r="O31" s="210"/>
      <c r="P31" s="238">
        <f t="shared" si="0"/>
        <v>45869</v>
      </c>
    </row>
    <row r="32" spans="1:16" ht="91.2" customHeight="1" x14ac:dyDescent="0.3">
      <c r="A32" s="79" t="str">
        <f>_xlfn.IFNA(VLOOKUP(Tabela1[[#This Row],[NR DZIAŁANIA]],lista!$A$2:$E$111,2,FALSE),"")</f>
        <v>RSO2.8</v>
      </c>
      <c r="B32" s="48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2" s="49" t="s">
        <v>83</v>
      </c>
      <c r="D32" s="48" t="str">
        <f>_xlfn.IFNA(VLOOKUP(Tabela1[[#This Row],[NR DZIAŁANIA]],lista!$A$2:$E$111,4,FALSE),"")</f>
        <v>Zakup taboru autobusowego/ trolejbusowego - ZIT</v>
      </c>
      <c r="E32" s="68" t="s">
        <v>41</v>
      </c>
      <c r="F32" s="276">
        <v>45961</v>
      </c>
      <c r="G32" s="276">
        <v>46011</v>
      </c>
      <c r="H32" s="47" t="s">
        <v>84</v>
      </c>
      <c r="I32" s="47" t="s">
        <v>85</v>
      </c>
      <c r="J32" s="58">
        <v>18249984</v>
      </c>
      <c r="K32" s="54">
        <f>Tabela1[[#This Row],[KWOTA PRZEZNACZONA NA DOFINANSOWANIE PROJEKTÓW '[PLN']]]/4.45</f>
        <v>4101120</v>
      </c>
      <c r="L32" s="129" t="s">
        <v>20</v>
      </c>
      <c r="M32" s="127" t="s">
        <v>21</v>
      </c>
      <c r="N32" s="47" t="str">
        <f>_xlfn.IFNA(VLOOKUP(Tabela1[[#This Row],[NR DZIAŁANIA]],lista!$A$2:$E$111,5,FALSE),"")</f>
        <v>Departament Europejskiego Funduszu Rozwoju Regionalnego</v>
      </c>
      <c r="O32" s="213"/>
      <c r="P32" s="238">
        <f t="shared" si="0"/>
        <v>45961</v>
      </c>
    </row>
    <row r="33" spans="1:16" ht="90" customHeight="1" x14ac:dyDescent="0.3">
      <c r="A33" s="79" t="str">
        <f>_xlfn.IFNA(VLOOKUP(Tabela1[[#This Row],[NR DZIAŁANIA]],lista!$A$2:$E$111,2,FALSE),"")</f>
        <v>RSO2.8</v>
      </c>
      <c r="B33" s="48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3" s="49" t="s">
        <v>87</v>
      </c>
      <c r="D33" s="48" t="str">
        <f>_xlfn.IFNA(VLOOKUP(Tabela1[[#This Row],[NR DZIAŁANIA]],lista!$A$2:$E$111,4,FALSE),"")</f>
        <v>Zrównoważona multimodalna mobilność miejska  - ZIT</v>
      </c>
      <c r="E33" s="243" t="s">
        <v>29</v>
      </c>
      <c r="F33" s="60">
        <v>45869</v>
      </c>
      <c r="G33" s="60" t="s">
        <v>88</v>
      </c>
      <c r="H33" s="233" t="s">
        <v>89</v>
      </c>
      <c r="I33" s="47" t="s">
        <v>90</v>
      </c>
      <c r="J33" s="58">
        <v>120150000</v>
      </c>
      <c r="K33" s="54">
        <f>Tabela1[[#This Row],[KWOTA PRZEZNACZONA NA DOFINANSOWANIE PROJEKTÓW '[PLN']]]/4.45</f>
        <v>27000000</v>
      </c>
      <c r="L33" s="202" t="s">
        <v>20</v>
      </c>
      <c r="M33" s="54" t="s">
        <v>21</v>
      </c>
      <c r="N33" s="47" t="str">
        <f>_xlfn.IFNA(VLOOKUP(Tabela1[[#This Row],[NR DZIAŁANIA]],lista!$A$2:$E$111,5,FALSE),"")</f>
        <v>Departament Europejskiego Funduszu Rozwoju Regionalnego</v>
      </c>
      <c r="O33" s="213"/>
      <c r="P33" s="238">
        <f t="shared" si="0"/>
        <v>45869</v>
      </c>
    </row>
    <row r="34" spans="1:16" s="42" customFormat="1" ht="87.6" customHeight="1" x14ac:dyDescent="0.3">
      <c r="A34" s="79" t="str">
        <f>_xlfn.IFNA(VLOOKUP(Tabela1[[#This Row],[NR DZIAŁANIA]],lista!$A$2:$E$111,2,FALSE),"")</f>
        <v>RSO2.8</v>
      </c>
      <c r="B34" s="48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4" s="49" t="s">
        <v>87</v>
      </c>
      <c r="D34" s="48" t="str">
        <f>_xlfn.IFNA(VLOOKUP(Tabela1[[#This Row],[NR DZIAŁANIA]],lista!$A$2:$E$111,4,FALSE),"")</f>
        <v>Zrównoważona multimodalna mobilność miejska  - ZIT</v>
      </c>
      <c r="E34" s="68" t="s">
        <v>91</v>
      </c>
      <c r="F34" s="142">
        <v>45897</v>
      </c>
      <c r="G34" s="142">
        <v>45961</v>
      </c>
      <c r="H34" s="47" t="s">
        <v>89</v>
      </c>
      <c r="I34" s="47" t="s">
        <v>90</v>
      </c>
      <c r="J34" s="58">
        <v>11890929.550000001</v>
      </c>
      <c r="K34" s="54">
        <f>Tabela1[[#This Row],[KWOTA PRZEZNACZONA NA DOFINANSOWANIE PROJEKTÓW '[PLN']]]/4.45</f>
        <v>2672119</v>
      </c>
      <c r="L34" s="202" t="s">
        <v>20</v>
      </c>
      <c r="M34" s="54" t="s">
        <v>21</v>
      </c>
      <c r="N34" s="47" t="str">
        <f>_xlfn.IFNA(VLOOKUP(Tabela1[[#This Row],[NR DZIAŁANIA]],lista!$A$2:$E$111,5,FALSE),"")</f>
        <v>Departament Europejskiego Funduszu Rozwoju Regionalnego</v>
      </c>
      <c r="O34" s="213"/>
      <c r="P34" s="238">
        <f>F34</f>
        <v>45897</v>
      </c>
    </row>
    <row r="35" spans="1:16" ht="60" x14ac:dyDescent="0.3">
      <c r="A35" s="79" t="str">
        <f>_xlfn.IFNA(VLOOKUP(Tabela1[[#This Row],[NR DZIAŁANIA]],lista!$A$2:$E$111,2,FALSE),"")</f>
        <v>RSO2.8</v>
      </c>
      <c r="B35" s="48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5" s="49" t="s">
        <v>92</v>
      </c>
      <c r="D35" s="48" t="str">
        <f>_xlfn.IFNA(VLOOKUP(Tabela1[[#This Row],[NR DZIAŁANIA]],lista!$A$2:$E$111,4,FALSE),"")</f>
        <v>Regionalne Trasy Rowerowe - ZIT</v>
      </c>
      <c r="E35" s="68" t="s">
        <v>35</v>
      </c>
      <c r="F35" s="60">
        <v>45961</v>
      </c>
      <c r="G35" s="60">
        <v>46021</v>
      </c>
      <c r="H35" s="47" t="s">
        <v>93</v>
      </c>
      <c r="I35" s="59" t="s">
        <v>94</v>
      </c>
      <c r="J35" s="58">
        <v>40000000</v>
      </c>
      <c r="K35" s="54">
        <f>Tabela1[[#This Row],[KWOTA PRZEZNACZONA NA DOFINANSOWANIE PROJEKTÓW '[PLN']]]/4.45</f>
        <v>8988764.0449438207</v>
      </c>
      <c r="L35" s="85" t="s">
        <v>20</v>
      </c>
      <c r="M35" s="86" t="s">
        <v>21</v>
      </c>
      <c r="N35" s="47" t="str">
        <f>_xlfn.IFNA(VLOOKUP(Tabela1[[#This Row],[NR DZIAŁANIA]],lista!$A$2:$E$111,5,FALSE),"")</f>
        <v>Departament Europejskiego Funduszu Rozwoju Regionalnego</v>
      </c>
      <c r="O35" s="253"/>
      <c r="P35" s="238">
        <f>F35</f>
        <v>45961</v>
      </c>
    </row>
    <row r="36" spans="1:16" ht="78.599999999999994" customHeight="1" x14ac:dyDescent="0.3">
      <c r="A36" s="82" t="str">
        <f>_xlfn.IFNA(VLOOKUP(Tabela1[[#This Row],[NR DZIAŁANIA]],lista!$A$2:$E$111,2,FALSE),"")</f>
        <v>RSO2.8</v>
      </c>
      <c r="B36" s="83" t="str">
        <f>_xlfn.IFNA(VLOOKUP(Tabela1[[#This Row],[NR DZIAŁANIA]],lista!$A$2:$E$111,3,FALSE),"")</f>
        <v>Wspieranie zrównoważonej multimodalnej mobilności miejskiej jako elementu transformacji w kierunku gospodarki zeroemisyjnej</v>
      </c>
      <c r="C36" s="84" t="s">
        <v>92</v>
      </c>
      <c r="D36" s="83" t="str">
        <f>_xlfn.IFNA(VLOOKUP(Tabela1[[#This Row],[NR DZIAŁANIA]],lista!$A$2:$E$111,4,FALSE),"")</f>
        <v>Regionalne Trasy Rowerowe - ZIT</v>
      </c>
      <c r="E36" s="85" t="s">
        <v>41</v>
      </c>
      <c r="F36" s="123">
        <v>45596</v>
      </c>
      <c r="G36" s="124">
        <v>45777</v>
      </c>
      <c r="H36" s="86" t="s">
        <v>93</v>
      </c>
      <c r="I36" s="141" t="s">
        <v>94</v>
      </c>
      <c r="J36" s="87">
        <v>32262500</v>
      </c>
      <c r="K36" s="88">
        <f>Tabela1[[#This Row],[KWOTA PRZEZNACZONA NA DOFINANSOWANIE PROJEKTÓW '[PLN']]]/4.45</f>
        <v>7250000</v>
      </c>
      <c r="L36" s="85" t="s">
        <v>20</v>
      </c>
      <c r="M36" s="86" t="s">
        <v>21</v>
      </c>
      <c r="N36" s="240" t="str">
        <f>_xlfn.IFNA(VLOOKUP(Tabela1[[#This Row],[NR DZIAŁANIA]],lista!$A$2:$E$111,5,FALSE),"")</f>
        <v>Departament Europejskiego Funduszu Rozwoju Regionalnego</v>
      </c>
      <c r="O36" s="286"/>
      <c r="P36" s="238">
        <f t="shared" si="0"/>
        <v>45596</v>
      </c>
    </row>
    <row r="37" spans="1:16" ht="34.950000000000003" customHeight="1" x14ac:dyDescent="0.3">
      <c r="A37" s="132" t="s">
        <v>95</v>
      </c>
      <c r="B37" s="150"/>
      <c r="C37" s="136"/>
      <c r="D37" s="136"/>
      <c r="E37" s="136"/>
      <c r="F37" s="150"/>
      <c r="G37" s="150"/>
      <c r="H37" s="150"/>
      <c r="I37" s="164"/>
      <c r="J37" s="165"/>
      <c r="K37" s="110"/>
      <c r="L37" s="150"/>
      <c r="M37" s="133"/>
      <c r="N37" s="133"/>
      <c r="O37" s="285"/>
      <c r="P37" s="238"/>
    </row>
    <row r="38" spans="1:16" ht="34.950000000000003" customHeight="1" x14ac:dyDescent="0.3">
      <c r="A38" s="155" t="s">
        <v>96</v>
      </c>
      <c r="B38" s="156"/>
      <c r="C38" s="157"/>
      <c r="D38" s="158"/>
      <c r="E38" s="159"/>
      <c r="F38" s="160"/>
      <c r="G38" s="160"/>
      <c r="H38" s="156"/>
      <c r="I38" s="161"/>
      <c r="J38" s="162"/>
      <c r="K38" s="121"/>
      <c r="L38" s="160"/>
      <c r="M38" s="163"/>
      <c r="N38" s="156"/>
      <c r="O38" s="214"/>
      <c r="P38" s="238"/>
    </row>
    <row r="39" spans="1:16" s="39" customFormat="1" ht="147" customHeight="1" x14ac:dyDescent="0.3">
      <c r="A39" s="79" t="str">
        <f>_xlfn.IFNA(VLOOKUP(Tabela1[[#This Row],[NR DZIAŁANIA]],lista!$A$2:$E$111,2,FALSE),"")</f>
        <v>ESO4.1</v>
      </c>
      <c r="B39" s="48" t="str">
        <f>_xlfn.IFNA(VLOOKUP(Tabela1[[#This Row],[NR DZIAŁANIA]],lista!$A$2:$E$111,3,FALSE),"")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39" s="49" t="s">
        <v>97</v>
      </c>
      <c r="D39" s="48" t="str">
        <f>_xlfn.IFNA(VLOOKUP(Tabela1[[#This Row],[NR DZIAŁANIA]],lista!$A$2:$E$111,4,FALSE),"")</f>
        <v>Aktywizacja zawodowa poprzez OHP</v>
      </c>
      <c r="E39" s="68" t="s">
        <v>98</v>
      </c>
      <c r="F39" s="71">
        <v>45809</v>
      </c>
      <c r="G39" s="71">
        <v>45898</v>
      </c>
      <c r="H39" s="149" t="s">
        <v>99</v>
      </c>
      <c r="I39" s="51" t="s">
        <v>100</v>
      </c>
      <c r="J39" s="72">
        <v>8900000</v>
      </c>
      <c r="K39" s="54">
        <f>Tabela1[[#This Row],[KWOTA PRZEZNACZONA NA DOFINANSOWANIE PROJEKTÓW '[PLN']]]/4.45</f>
        <v>2000000</v>
      </c>
      <c r="L39" s="74" t="s">
        <v>69</v>
      </c>
      <c r="M39" s="51" t="s">
        <v>21</v>
      </c>
      <c r="N39" s="47" t="str">
        <f>_xlfn.IFNA(VLOOKUP(Tabela1[[#This Row],[NR DZIAŁANIA]],lista!$A$2:$E$111,5,FALSE),"")</f>
        <v>Wojewódzki Urząd Pracy</v>
      </c>
      <c r="O39" s="215"/>
      <c r="P39" s="238">
        <f t="shared" si="0"/>
        <v>45809</v>
      </c>
    </row>
    <row r="40" spans="1:16" s="201" customFormat="1" ht="147" customHeight="1" x14ac:dyDescent="0.3">
      <c r="A40" s="79" t="str">
        <f>_xlfn.IFNA(VLOOKUP(Tabela1[[#This Row],[NR DZIAŁANIA]],lista!$A$2:$E$111,2,FALSE),"")</f>
        <v>ESO4.1</v>
      </c>
      <c r="B40" s="48" t="str">
        <f>_xlfn.IFNA(VLOOKUP(Tabela1[[#This Row],[NR DZIAŁANIA]],lista!$A$2:$E$111,3,FALSE),"")</f>
        <v>Poprawa dostępu do zatrudnienia i działań aktywizujących dla wszystkich osób poszukujących pracy – w szczególności osób młodych, zwłaszcza poprzez wdrażanie gwarancji dla młodzieży – dla osób długotrwale bezrobotnych oraz grup znajdujących się w niekorzystnej sytuacji na rynku pracy, jak również dla osób biernych zawodowo, a także poprzez promowanie samozatrudnienia i ekonomii społecznej</v>
      </c>
      <c r="C40" s="49" t="s">
        <v>101</v>
      </c>
      <c r="D40" s="48" t="str">
        <f>_xlfn.IFNA(VLOOKUP(Tabela1[[#This Row],[NR DZIAŁANIA]],lista!$A$2:$E$111,4,FALSE),"")</f>
        <v>ALMA - staże zagraniczne dla młodych</v>
      </c>
      <c r="E40" s="68"/>
      <c r="F40" s="56">
        <v>45688</v>
      </c>
      <c r="G40" s="56">
        <v>45777</v>
      </c>
      <c r="H40" s="51" t="s">
        <v>102</v>
      </c>
      <c r="I40" s="52" t="s">
        <v>103</v>
      </c>
      <c r="J40" s="72">
        <v>26700000</v>
      </c>
      <c r="K40" s="54">
        <f>Tabela1[[#This Row],[KWOTA PRZEZNACZONA NA DOFINANSOWANIE PROJEKTÓW '[PLN']]]/4.45</f>
        <v>6000000</v>
      </c>
      <c r="L40" s="74" t="s">
        <v>20</v>
      </c>
      <c r="M40" s="51" t="s">
        <v>21</v>
      </c>
      <c r="N40" s="47" t="str">
        <f>_xlfn.IFNA(VLOOKUP(Tabela1[[#This Row],[NR DZIAŁANIA]],lista!$A$2:$E$111,5,FALSE),"")</f>
        <v>Wojewódzki Urząd Pracy</v>
      </c>
      <c r="O40" s="213"/>
      <c r="P40" s="238">
        <f t="shared" ref="P40:P60" si="2">F40</f>
        <v>45688</v>
      </c>
    </row>
    <row r="41" spans="1:16" s="33" customFormat="1" ht="120" x14ac:dyDescent="0.3">
      <c r="A41" s="79" t="str">
        <f>_xlfn.IFNA(VLOOKUP(Tabela1[[#This Row],[NR DZIAŁANIA]],lista!$A$2:$E$111,2,FALSE),"")</f>
        <v>ESO4.2</v>
      </c>
      <c r="B41" s="48" t="str">
        <f>_xlfn.IFNA(VLOOKUP(Tabela1[[#This Row],[NR DZIAŁANIA]],lista!$A$2:$E$111,3,FALSE),"")</f>
        <v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v>
      </c>
      <c r="C41" s="49" t="s">
        <v>104</v>
      </c>
      <c r="D41" s="48" t="str">
        <f>_xlfn.IFNA(VLOOKUP(Tabela1[[#This Row],[NR DZIAŁANIA]],lista!$A$2:$E$111,4,FALSE),"")</f>
        <v>Szkolenia dla pracowników IRP</v>
      </c>
      <c r="E41" s="68"/>
      <c r="F41" s="56">
        <v>45807</v>
      </c>
      <c r="G41" s="56" t="s">
        <v>105</v>
      </c>
      <c r="H41" s="149" t="s">
        <v>106</v>
      </c>
      <c r="I41" s="51" t="s">
        <v>103</v>
      </c>
      <c r="J41" s="231">
        <v>2225000</v>
      </c>
      <c r="K41" s="54">
        <f>Tabela1[[#This Row],[KWOTA PRZEZNACZONA NA DOFINANSOWANIE PROJEKTÓW '[PLN']]]/4.45</f>
        <v>500000</v>
      </c>
      <c r="L41" s="74" t="s">
        <v>20</v>
      </c>
      <c r="M41" s="51" t="s">
        <v>107</v>
      </c>
      <c r="N41" s="47" t="s">
        <v>108</v>
      </c>
      <c r="O41" s="215"/>
      <c r="P41" s="238">
        <f t="shared" si="2"/>
        <v>45807</v>
      </c>
    </row>
    <row r="42" spans="1:16" s="33" customFormat="1" ht="90" x14ac:dyDescent="0.3">
      <c r="A42" s="79" t="str">
        <f>_xlfn.IFNA(VLOOKUP(Tabela1[[#This Row],[NR DZIAŁANIA]],lista!$A$2:$E$111,2,FALSE),"")</f>
        <v>ESO4.4</v>
      </c>
      <c r="B42" s="48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2" s="49" t="s">
        <v>109</v>
      </c>
      <c r="D42" s="48" t="str">
        <f>_xlfn.IFNA(VLOOKUP(Tabela1[[#This Row],[NR DZIAŁANIA]],lista!$A$2:$E$111,4,FALSE),"")</f>
        <v>Regionalne programy zdrowotne</v>
      </c>
      <c r="E42" s="68"/>
      <c r="F42" s="60" t="s">
        <v>36</v>
      </c>
      <c r="G42" s="60" t="s">
        <v>36</v>
      </c>
      <c r="H42" s="52" t="s">
        <v>110</v>
      </c>
      <c r="I42" s="52" t="s">
        <v>111</v>
      </c>
      <c r="J42" s="53">
        <v>27064884</v>
      </c>
      <c r="K42" s="54">
        <f>Tabela1[[#This Row],[KWOTA PRZEZNACZONA NA DOFINANSOWANIE PROJEKTÓW '[PLN']]]/4.45</f>
        <v>6081996.4044943815</v>
      </c>
      <c r="L42" s="73" t="s">
        <v>20</v>
      </c>
      <c r="M42" s="52" t="s">
        <v>21</v>
      </c>
      <c r="N42" s="47" t="str">
        <f>_xlfn.IFNA(VLOOKUP(Tabela1[[#This Row],[NR DZIAŁANIA]],lista!$A$2:$E$111,5,FALSE),"")</f>
        <v>Departament Europejskiego Funduszu Społecznego</v>
      </c>
      <c r="O42" s="212"/>
      <c r="P42" s="238">
        <v>45962</v>
      </c>
    </row>
    <row r="43" spans="1:16" ht="105" customHeight="1" x14ac:dyDescent="0.3">
      <c r="A43" s="79" t="str">
        <f>_xlfn.IFNA(VLOOKUP(Tabela1[[#This Row],[NR DZIAŁANIA]],lista!$A$2:$E$111,2,FALSE),"")</f>
        <v>ESO4.4</v>
      </c>
      <c r="B43" s="48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3" s="49" t="s">
        <v>109</v>
      </c>
      <c r="D43" s="48" t="str">
        <f>_xlfn.IFNA(VLOOKUP(Tabela1[[#This Row],[NR DZIAŁANIA]],lista!$A$2:$E$111,4,FALSE),"")</f>
        <v>Regionalne programy zdrowotne</v>
      </c>
      <c r="E43" s="68"/>
      <c r="F43" s="60" t="s">
        <v>36</v>
      </c>
      <c r="G43" s="60" t="s">
        <v>36</v>
      </c>
      <c r="H43" s="52" t="s">
        <v>110</v>
      </c>
      <c r="I43" s="52" t="s">
        <v>111</v>
      </c>
      <c r="J43" s="53">
        <v>8303323.5999999996</v>
      </c>
      <c r="K43" s="54">
        <f>Tabela1[[#This Row],[KWOTA PRZEZNACZONA NA DOFINANSOWANIE PROJEKTÓW '[PLN']]]/4.45</f>
        <v>1865915.4157303369</v>
      </c>
      <c r="L43" s="73" t="s">
        <v>20</v>
      </c>
      <c r="M43" s="52" t="s">
        <v>21</v>
      </c>
      <c r="N43" s="47" t="str">
        <f>_xlfn.IFNA(VLOOKUP(Tabela1[[#This Row],[NR DZIAŁANIA]],lista!$A$2:$E$111,5,FALSE),"")</f>
        <v>Departament Europejskiego Funduszu Społecznego</v>
      </c>
      <c r="O43" s="212"/>
      <c r="P43" s="238">
        <v>45962</v>
      </c>
    </row>
    <row r="44" spans="1:16" s="42" customFormat="1" ht="102.6" customHeight="1" x14ac:dyDescent="0.3">
      <c r="A44" s="79" t="str">
        <f>_xlfn.IFNA(VLOOKUP(Tabela1[[#This Row],[NR DZIAŁANIA]],lista!$A$2:$E$111,2,FALSE),"")</f>
        <v>ESO4.4</v>
      </c>
      <c r="B44" s="48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4" s="49" t="s">
        <v>112</v>
      </c>
      <c r="D44" s="48" t="str">
        <f>_xlfn.IFNA(VLOOKUP(Tabela1[[#This Row],[NR DZIAŁANIA]],lista!$A$2:$E$111,4,FALSE),"")</f>
        <v>Zdrowy pracownik</v>
      </c>
      <c r="E44" s="68"/>
      <c r="F44" s="60">
        <v>45624</v>
      </c>
      <c r="G44" s="203">
        <v>45687</v>
      </c>
      <c r="H44" s="51" t="s">
        <v>113</v>
      </c>
      <c r="I44" s="51" t="s">
        <v>111</v>
      </c>
      <c r="J44" s="53">
        <v>22250000</v>
      </c>
      <c r="K44" s="54">
        <f>Tabela1[[#This Row],[KWOTA PRZEZNACZONA NA DOFINANSOWANIE PROJEKTÓW '[PLN']]]/4.45</f>
        <v>5000000</v>
      </c>
      <c r="L44" s="73" t="s">
        <v>20</v>
      </c>
      <c r="M44" s="52" t="s">
        <v>21</v>
      </c>
      <c r="N44" s="47" t="str">
        <f>_xlfn.IFNA(VLOOKUP(Tabela1[[#This Row],[NR DZIAŁANIA]],lista!$A$2:$E$111,5,FALSE),"")</f>
        <v>Departament Europejskiego Funduszu Społecznego</v>
      </c>
      <c r="O44" s="213"/>
      <c r="P44" s="238">
        <f t="shared" si="2"/>
        <v>45624</v>
      </c>
    </row>
    <row r="45" spans="1:16" ht="140.4" customHeight="1" x14ac:dyDescent="0.3">
      <c r="A45" s="79" t="str">
        <f>_xlfn.IFNA(VLOOKUP(Tabela1[[#This Row],[NR DZIAŁANIA]],lista!$A$2:$E$111,2,FALSE),"")</f>
        <v>ESO4.4</v>
      </c>
      <c r="B45" s="48" t="str">
        <f>_xlfn.IFNA(VLOOKUP(Tabela1[[#This Row],[NR DZIAŁANIA]],lista!$A$2:$E$111,3,FALSE),"")</f>
        <v>Wspieranie dostosowania pracowników, przedsiębiorstw i przedsiębiorców do zmian,  wspieranie aktywnego i zdrowego starzenia się oraz zdrowego i dobrze dostosowanego środowiska pracy,  które uwzględnia zagrożenia  dla zdrowia</v>
      </c>
      <c r="C45" s="49" t="s">
        <v>114</v>
      </c>
      <c r="D45" s="48" t="str">
        <f>_xlfn.IFNA(VLOOKUP(Tabela1[[#This Row],[NR DZIAŁANIA]],lista!$A$2:$E$111,4,FALSE),"")</f>
        <v>Usługi rozwojowe dla kadr administracji samorządowej</v>
      </c>
      <c r="E45" s="68"/>
      <c r="F45" s="71">
        <v>45901</v>
      </c>
      <c r="G45" s="71">
        <v>45962</v>
      </c>
      <c r="H45" s="51" t="s">
        <v>115</v>
      </c>
      <c r="I45" s="83" t="s">
        <v>103</v>
      </c>
      <c r="J45" s="53">
        <f>(1440075+636704+636704+561798)*4.45</f>
        <v>14575000.450000001</v>
      </c>
      <c r="K45" s="54">
        <f>Tabela1[[#This Row],[KWOTA PRZEZNACZONA NA DOFINANSOWANIE PROJEKTÓW '[PLN']]]/4.45</f>
        <v>3275281</v>
      </c>
      <c r="L45" s="73" t="s">
        <v>20</v>
      </c>
      <c r="M45" s="52" t="s">
        <v>116</v>
      </c>
      <c r="N45" s="47" t="str">
        <f>_xlfn.IFNA(VLOOKUP(Tabela1[[#This Row],[NR DZIAŁANIA]],lista!$A$2:$E$111,5,FALSE),"")</f>
        <v>Wojewódzki Urząd Pracy</v>
      </c>
      <c r="O45" s="213"/>
      <c r="P45" s="238">
        <f t="shared" si="2"/>
        <v>45901</v>
      </c>
    </row>
    <row r="46" spans="1:16" s="40" customFormat="1" ht="34.950000000000003" customHeight="1" x14ac:dyDescent="0.3">
      <c r="A46" s="132" t="s">
        <v>117</v>
      </c>
      <c r="B46" s="150"/>
      <c r="C46" s="134"/>
      <c r="D46" s="136"/>
      <c r="E46" s="136"/>
      <c r="F46" s="137"/>
      <c r="G46" s="137"/>
      <c r="H46" s="150"/>
      <c r="I46" s="138"/>
      <c r="J46" s="110"/>
      <c r="K46" s="154"/>
      <c r="L46" s="137"/>
      <c r="M46" s="140"/>
      <c r="N46" s="133"/>
      <c r="O46" s="211"/>
      <c r="P46" s="238"/>
    </row>
    <row r="47" spans="1:16" ht="166.2" customHeight="1" x14ac:dyDescent="0.3">
      <c r="A47" s="151" t="str">
        <f>_xlfn.IFNA(VLOOKUP(Tabela1[[#This Row],[NR DZIAŁANIA]],lista!$A$2:$E$111,2,FALSE),"")</f>
        <v>ESO4.6</v>
      </c>
      <c r="B47" s="145" t="str">
        <f>_xlfn.IFNA(VLOOKUP(Tabela1[[#This Row],[NR DZIAŁANIA]],lista!$A$2:$E$111,3,FALSE),"")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7" s="128" t="s">
        <v>118</v>
      </c>
      <c r="D47" s="145" t="str">
        <f>_xlfn.IFNA(VLOOKUP(Tabela1[[#This Row],[NR DZIAŁANIA]],lista!$A$2:$E$111,4,FALSE),"")</f>
        <v>Edukacja przedszkolna</v>
      </c>
      <c r="E47" s="129"/>
      <c r="F47" s="142">
        <v>45565</v>
      </c>
      <c r="G47" s="142">
        <v>45638</v>
      </c>
      <c r="H47" s="127" t="s">
        <v>119</v>
      </c>
      <c r="I47" s="130" t="s">
        <v>111</v>
      </c>
      <c r="J47" s="268">
        <v>26700000</v>
      </c>
      <c r="K47" s="144">
        <f>Tabela1[[#This Row],[KWOTA PRZEZNACZONA NA DOFINANSOWANIE PROJEKTÓW '[PLN']]]/4.45</f>
        <v>6000000</v>
      </c>
      <c r="L47" s="153" t="s">
        <v>20</v>
      </c>
      <c r="M47" s="131" t="s">
        <v>21</v>
      </c>
      <c r="N47" s="130" t="str">
        <f>_xlfn.IFNA(VLOOKUP(Tabela1[[#This Row],[NR DZIAŁANIA]],lista!$A$2:$E$111,5,FALSE),"")</f>
        <v>Departament Europejskiego Funduszu Społecznego</v>
      </c>
      <c r="O47" s="254"/>
      <c r="P47" s="238">
        <f t="shared" si="2"/>
        <v>45565</v>
      </c>
    </row>
    <row r="48" spans="1:16" s="34" customFormat="1" ht="171.6" customHeight="1" x14ac:dyDescent="0.3">
      <c r="A48" s="255" t="str">
        <f>_xlfn.IFNA(VLOOKUP(Tabela1[[#This Row],[NR DZIAŁANIA]],lista!$A$2:$E$111,2,FALSE),"")</f>
        <v>ESO4.6</v>
      </c>
      <c r="B48" s="57" t="str">
        <f>_xlfn.IFNA(VLOOKUP(Tabela1[[#This Row],[NR DZIAŁANIA]],lista!$A$2:$E$111,3,FALSE),"")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8" s="49" t="s">
        <v>120</v>
      </c>
      <c r="D48" s="57" t="str">
        <f>_xlfn.IFNA(VLOOKUP(Tabela1[[#This Row],[NR DZIAŁANIA]],lista!$A$2:$E$111,4,FALSE),"")</f>
        <v>Kształcenie ogólne</v>
      </c>
      <c r="E48" s="68"/>
      <c r="F48" s="60" t="s">
        <v>36</v>
      </c>
      <c r="G48" s="60" t="s">
        <v>36</v>
      </c>
      <c r="H48" s="51" t="s">
        <v>121</v>
      </c>
      <c r="I48" s="52" t="s">
        <v>111</v>
      </c>
      <c r="J48" s="53">
        <v>15575000</v>
      </c>
      <c r="K48" s="54">
        <f>Tabela1[[#This Row],[KWOTA PRZEZNACZONA NA DOFINANSOWANIE PROJEKTÓW '[PLN']]]/4.45</f>
        <v>3500000</v>
      </c>
      <c r="L48" s="73" t="s">
        <v>20</v>
      </c>
      <c r="M48" s="52" t="s">
        <v>21</v>
      </c>
      <c r="N48" s="47" t="str">
        <f>_xlfn.IFNA(VLOOKUP(Tabela1[[#This Row],[NR DZIAŁANIA]],lista!$A$2:$E$111,5,FALSE),"")</f>
        <v>Departament Europejskiego Funduszu Społecznego</v>
      </c>
      <c r="O48" s="212"/>
      <c r="P48" s="238">
        <v>45962</v>
      </c>
    </row>
    <row r="49" spans="1:16" s="34" customFormat="1" ht="181.8" customHeight="1" x14ac:dyDescent="0.3">
      <c r="A49" s="79" t="str">
        <f>_xlfn.IFNA(VLOOKUP(Tabela1[[#This Row],[NR DZIAŁANIA]],lista!$A$2:$E$111,2,FALSE),"")</f>
        <v>ESO4.6</v>
      </c>
      <c r="B49" s="48" t="str">
        <f>_xlfn.IFNA(VLOOKUP(Tabela1[[#This Row],[NR DZIAŁANIA]],lista!$A$2:$E$111,3,FALSE),"")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49" s="49" t="s">
        <v>122</v>
      </c>
      <c r="D49" s="48" t="str">
        <f>_xlfn.IFNA(VLOOKUP(Tabela1[[#This Row],[NR DZIAŁANIA]],lista!$A$2:$E$111,4,FALSE),"")</f>
        <v>Strategiczne projekty dla obszaru edukacji</v>
      </c>
      <c r="E49" s="68" t="s">
        <v>513</v>
      </c>
      <c r="F49" s="60">
        <v>45744</v>
      </c>
      <c r="G49" s="60">
        <v>45784</v>
      </c>
      <c r="H49" s="51" t="s">
        <v>123</v>
      </c>
      <c r="I49" s="52" t="s">
        <v>124</v>
      </c>
      <c r="J49" s="53">
        <v>21916060</v>
      </c>
      <c r="K49" s="54">
        <f>Tabela1[[#This Row],[KWOTA PRZEZNACZONA NA DOFINANSOWANIE PROJEKTÓW '[PLN']]]/4.45</f>
        <v>4924957.3033707859</v>
      </c>
      <c r="L49" s="73" t="s">
        <v>69</v>
      </c>
      <c r="M49" s="52" t="s">
        <v>21</v>
      </c>
      <c r="N49" s="47" t="str">
        <f>_xlfn.IFNA(VLOOKUP(Tabela1[[#This Row],[NR DZIAŁANIA]],lista!$A$2:$E$111,5,FALSE),"")</f>
        <v>Departament Europejskiego Funduszu Społecznego</v>
      </c>
      <c r="O49" s="212"/>
      <c r="P49" s="238">
        <f>F49</f>
        <v>45744</v>
      </c>
    </row>
    <row r="50" spans="1:16" ht="187.2" customHeight="1" x14ac:dyDescent="0.3">
      <c r="A50" s="79" t="str">
        <f>_xlfn.IFNA(VLOOKUP(Tabela1[[#This Row],[NR DZIAŁANIA]],lista!$A$2:$E$111,2,FALSE),"")</f>
        <v>ESO4.6</v>
      </c>
      <c r="B50" s="48" t="str">
        <f>_xlfn.IFNA(VLOOKUP(Tabela1[[#This Row],[NR DZIAŁANIA]],lista!$A$2:$E$111,3,FALSE),"")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 szkolnictwo wyższe, a także kształcenie i uczenie się dorosłych, w tym ułatwianie mobilności edukacyjnej dla wszystkich i dostępności dla osób z niepełnosprawnościami</v>
      </c>
      <c r="C50" s="49" t="s">
        <v>125</v>
      </c>
      <c r="D50" s="48" t="str">
        <f>_xlfn.IFNA(VLOOKUP(Tabela1[[#This Row],[NR DZIAŁANIA]],lista!$A$2:$E$111,4,FALSE),"")</f>
        <v>Wsparcie edukacyjne społeczności objetych LSR</v>
      </c>
      <c r="E50" s="68"/>
      <c r="F50" s="203">
        <v>45625</v>
      </c>
      <c r="G50" s="203">
        <v>45692</v>
      </c>
      <c r="H50" s="51" t="s">
        <v>126</v>
      </c>
      <c r="I50" s="47" t="s">
        <v>127</v>
      </c>
      <c r="J50" s="53">
        <v>7034129</v>
      </c>
      <c r="K50" s="54">
        <f>Tabela1[[#This Row],[KWOTA PRZEZNACZONA NA DOFINANSOWANIE PROJEKTÓW '[PLN']]]/4.45</f>
        <v>1580703.1460674156</v>
      </c>
      <c r="L50" s="73" t="s">
        <v>20</v>
      </c>
      <c r="M50" s="52" t="s">
        <v>21</v>
      </c>
      <c r="N50" s="47" t="str">
        <f>_xlfn.IFNA(VLOOKUP(Tabela1[[#This Row],[NR DZIAŁANIA]],lista!$A$2:$E$111,5,FALSE),"")</f>
        <v>Departament Europejskiego Funduszu Społecznego</v>
      </c>
      <c r="O50" s="212"/>
      <c r="P50" s="238">
        <f t="shared" si="2"/>
        <v>45625</v>
      </c>
    </row>
    <row r="51" spans="1:16" ht="181.2" customHeight="1" x14ac:dyDescent="0.3">
      <c r="A51" s="79" t="str">
        <f>_xlfn.IFNA(VLOOKUP(Tabela1[[#This Row],[NR DZIAŁANIA]],lista!$A$2:$E$111,2,FALSE),"")</f>
        <v>ESO4.7</v>
      </c>
      <c r="B51" s="48" t="str">
        <f>_xlfn.IFNA(VLOOKUP(Tabela1[[#This Row],[NR DZIAŁANIA]],lista!$A$2:$E$111,3,FALSE),"")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51" s="49" t="s">
        <v>128</v>
      </c>
      <c r="D51" s="48" t="str">
        <f>_xlfn.IFNA(VLOOKUP(Tabela1[[#This Row],[NR DZIAŁANIA]],lista!$A$2:$E$111,4,FALSE),"")</f>
        <v>Kształcenie osób dorosłych - EFS+</v>
      </c>
      <c r="E51" s="68"/>
      <c r="F51" s="71">
        <v>45964</v>
      </c>
      <c r="G51" s="71">
        <v>46052</v>
      </c>
      <c r="H51" s="51" t="s">
        <v>129</v>
      </c>
      <c r="I51" s="83" t="s">
        <v>103</v>
      </c>
      <c r="J51" s="53">
        <v>2225000</v>
      </c>
      <c r="K51" s="54">
        <f>Tabela1[[#This Row],[KWOTA PRZEZNACZONA NA DOFINANSOWANIE PROJEKTÓW '[PLN']]]/4.45</f>
        <v>500000</v>
      </c>
      <c r="L51" s="73" t="s">
        <v>20</v>
      </c>
      <c r="M51" s="52" t="s">
        <v>21</v>
      </c>
      <c r="N51" s="47" t="str">
        <f>_xlfn.IFNA(VLOOKUP(Tabela1[[#This Row],[NR DZIAŁANIA]],lista!$A$2:$E$111,5,FALSE),"")</f>
        <v>Wojewódzki Urząd Pracy</v>
      </c>
      <c r="O51" s="212"/>
      <c r="P51" s="238">
        <f t="shared" si="2"/>
        <v>45964</v>
      </c>
    </row>
    <row r="52" spans="1:16" s="42" customFormat="1" ht="175.2" customHeight="1" x14ac:dyDescent="0.3">
      <c r="A52" s="82" t="str">
        <f>_xlfn.IFNA(VLOOKUP(Tabela1[[#This Row],[NR DZIAŁANIA]],lista!$A$2:$E$111,2,FALSE),"")</f>
        <v>ESO4.7</v>
      </c>
      <c r="B52" s="83" t="str">
        <f>_xlfn.IFNA(VLOOKUP(Tabela1[[#This Row],[NR DZIAŁANIA]],lista!$A$2:$E$111,3,FALSE),"")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52" s="84" t="s">
        <v>130</v>
      </c>
      <c r="D52" s="83" t="str">
        <f>_xlfn.IFNA(VLOOKUP(Tabela1[[#This Row],[NR DZIAŁANIA]],lista!$A$2:$E$111,4,FALSE),"")</f>
        <v>Upskilling pathways - RLKS</v>
      </c>
      <c r="E52" s="85"/>
      <c r="F52" s="124">
        <v>45625</v>
      </c>
      <c r="G52" s="124">
        <v>45673</v>
      </c>
      <c r="H52" s="146" t="s">
        <v>131</v>
      </c>
      <c r="I52" s="146" t="s">
        <v>111</v>
      </c>
      <c r="J52" s="147">
        <v>14487829.4</v>
      </c>
      <c r="K52" s="88">
        <f>Tabela1[[#This Row],[KWOTA PRZEZNACZONA NA DOFINANSOWANIE PROJEKTÓW '[PLN']]]/4.45</f>
        <v>3255692</v>
      </c>
      <c r="L52" s="148" t="s">
        <v>20</v>
      </c>
      <c r="M52" s="146" t="s">
        <v>21</v>
      </c>
      <c r="N52" s="86" t="str">
        <f>_xlfn.IFNA(VLOOKUP(Tabela1[[#This Row],[NR DZIAŁANIA]],lista!$A$2:$E$111,5,FALSE),"")</f>
        <v>Wojewódzki Urząd Pracy</v>
      </c>
      <c r="O52" s="216"/>
      <c r="P52" s="238">
        <f t="shared" si="2"/>
        <v>45625</v>
      </c>
    </row>
    <row r="53" spans="1:16" s="42" customFormat="1" ht="182.4" customHeight="1" x14ac:dyDescent="0.3">
      <c r="A53" s="79" t="str">
        <f>_xlfn.IFNA(VLOOKUP(Tabela1[[#This Row],[NR DZIAŁANIA]],lista!$A$2:$E$111,2,FALSE),"")</f>
        <v>ESO4.7</v>
      </c>
      <c r="B53" s="48" t="str">
        <f>_xlfn.IFNA(VLOOKUP(Tabela1[[#This Row],[NR DZIAŁANIA]],lista!$A$2:$E$111,3,FALSE),"")</f>
        <v xml:space="preserve"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</v>
      </c>
      <c r="C53" s="49" t="s">
        <v>132</v>
      </c>
      <c r="D53" s="48" t="str">
        <f>_xlfn.IFNA(VLOOKUP(Tabela1[[#This Row],[NR DZIAŁANIA]],lista!$A$2:$E$111,4,FALSE),"")</f>
        <v>Lokalne Ośrodki Wiedzy i Edukacji - LOWE</v>
      </c>
      <c r="E53" s="68"/>
      <c r="F53" s="56">
        <v>45702</v>
      </c>
      <c r="G53" s="56">
        <v>45777</v>
      </c>
      <c r="H53" s="52" t="s">
        <v>133</v>
      </c>
      <c r="I53" s="52" t="s">
        <v>103</v>
      </c>
      <c r="J53" s="53">
        <v>11125000</v>
      </c>
      <c r="K53" s="54">
        <f>Tabela1[[#This Row],[KWOTA PRZEZNACZONA NA DOFINANSOWANIE PROJEKTÓW '[PLN']]]/4.45</f>
        <v>2500000</v>
      </c>
      <c r="L53" s="73" t="s">
        <v>20</v>
      </c>
      <c r="M53" s="52" t="s">
        <v>21</v>
      </c>
      <c r="N53" s="47" t="str">
        <f>_xlfn.IFNA(VLOOKUP(Tabela1[[#This Row],[NR DZIAŁANIA]],lista!$A$2:$E$111,5,FALSE),"")</f>
        <v>Wojewódzki Urząd Pracy</v>
      </c>
      <c r="O53" s="212"/>
      <c r="P53" s="238">
        <f t="shared" si="2"/>
        <v>45702</v>
      </c>
    </row>
    <row r="54" spans="1:16" s="34" customFormat="1" ht="34.950000000000003" customHeight="1" x14ac:dyDescent="0.3">
      <c r="A54" s="155" t="s">
        <v>134</v>
      </c>
      <c r="B54" s="225"/>
      <c r="C54" s="157"/>
      <c r="D54" s="159"/>
      <c r="E54" s="159"/>
      <c r="F54" s="160"/>
      <c r="G54" s="160"/>
      <c r="H54" s="225"/>
      <c r="I54" s="161"/>
      <c r="J54" s="121"/>
      <c r="K54" s="121"/>
      <c r="L54" s="160"/>
      <c r="M54" s="163"/>
      <c r="N54" s="156"/>
      <c r="O54" s="211"/>
      <c r="P54" s="238"/>
    </row>
    <row r="55" spans="1:16" ht="225.75" customHeight="1" x14ac:dyDescent="0.3">
      <c r="A55" s="126" t="str">
        <f>_xlfn.IFNA(VLOOKUP(Tabela1[[#This Row],[NR DZIAŁANIA]],lista!$A$2:$E$111,2,FALSE),"")</f>
        <v>ESO4.11</v>
      </c>
      <c r="B55" s="127" t="str">
        <f>_xlfn.IFNA(VLOOKUP(Tabela1[[#This Row],[NR DZIAŁANIA]],lista!$A$2:$E$111,3,FALSE),"")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55" s="128" t="s">
        <v>135</v>
      </c>
      <c r="D55" s="127" t="str">
        <f>_xlfn.IFNA(VLOOKUP(Tabela1[[#This Row],[NR DZIAŁANIA]],lista!$A$2:$E$111,4,FALSE),"")</f>
        <v>Ochrona zdrowia</v>
      </c>
      <c r="E55" s="129"/>
      <c r="F55" s="142">
        <v>45559</v>
      </c>
      <c r="G55" s="142">
        <v>45642</v>
      </c>
      <c r="H55" s="131" t="s">
        <v>136</v>
      </c>
      <c r="I55" s="130" t="s">
        <v>111</v>
      </c>
      <c r="J55" s="152">
        <v>22250000</v>
      </c>
      <c r="K55" s="144">
        <f>Tabela1[[#This Row],[KWOTA PRZEZNACZONA NA DOFINANSOWANIE PROJEKTÓW '[PLN']]]/4.45</f>
        <v>5000000</v>
      </c>
      <c r="L55" s="226" t="s">
        <v>20</v>
      </c>
      <c r="M55" s="131" t="s">
        <v>21</v>
      </c>
      <c r="N55" s="130" t="str">
        <f>_xlfn.IFNA(VLOOKUP(Tabela1[[#This Row],[NR DZIAŁANIA]],lista!$A$2:$E$111,5,FALSE),"")</f>
        <v>Departament Europejskiego Funduszu Społecznego</v>
      </c>
      <c r="O55" s="215"/>
      <c r="P55" s="238">
        <f t="shared" si="2"/>
        <v>45559</v>
      </c>
    </row>
    <row r="56" spans="1:16" s="34" customFormat="1" ht="213.6" customHeight="1" x14ac:dyDescent="0.3">
      <c r="A56" s="79" t="str">
        <f>_xlfn.IFNA(VLOOKUP(Tabela1[[#This Row],[NR DZIAŁANIA]],lista!$A$2:$E$111,2,FALSE),"")</f>
        <v>ESO4.11</v>
      </c>
      <c r="B56" s="48" t="str">
        <f>_xlfn.IFNA(VLOOKUP(Tabela1[[#This Row],[NR DZIAŁANIA]],lista!$A$2:$E$111,3,FALSE),"")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C56" s="49" t="s">
        <v>135</v>
      </c>
      <c r="D56" s="48" t="str">
        <f>_xlfn.IFNA(VLOOKUP(Tabela1[[#This Row],[NR DZIAŁANIA]],lista!$A$2:$E$111,4,FALSE),"")</f>
        <v>Ochrona zdrowia</v>
      </c>
      <c r="E56" s="68" t="s">
        <v>514</v>
      </c>
      <c r="F56" s="60">
        <v>45744</v>
      </c>
      <c r="G56" s="60">
        <v>45784</v>
      </c>
      <c r="H56" s="52" t="s">
        <v>137</v>
      </c>
      <c r="I56" s="47" t="s">
        <v>124</v>
      </c>
      <c r="J56" s="289">
        <v>53400000</v>
      </c>
      <c r="K56" s="290">
        <v>12000000</v>
      </c>
      <c r="L56" s="66" t="s">
        <v>69</v>
      </c>
      <c r="M56" s="52" t="s">
        <v>21</v>
      </c>
      <c r="N56" s="47" t="str">
        <f>_xlfn.IFNA(VLOOKUP(Tabela1[[#This Row],[NR DZIAŁANIA]],lista!$A$2:$E$111,5,FALSE),"")</f>
        <v>Departament Europejskiego Funduszu Społecznego</v>
      </c>
      <c r="O56" s="215"/>
      <c r="P56" s="238">
        <f>F56</f>
        <v>45744</v>
      </c>
    </row>
    <row r="57" spans="1:16" ht="112.2" customHeight="1" x14ac:dyDescent="0.3">
      <c r="A57" s="79" t="str">
        <f>_xlfn.IFNA(VLOOKUP(Tabela1[[#This Row],[NR DZIAŁANIA]],lista!$A$2:$E$111,2,FALSE),"")</f>
        <v>ESO4.12</v>
      </c>
      <c r="B57" s="48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57" s="49" t="s">
        <v>138</v>
      </c>
      <c r="D57" s="48" t="str">
        <f>_xlfn.IFNA(VLOOKUP(Tabela1[[#This Row],[NR DZIAŁANIA]],lista!$A$2:$E$111,4,FALSE),"")</f>
        <v>Usługi dla osób w kryzysie bezdomności lub  dotkniętych wykluczeniem z dostępu do mieszkań</v>
      </c>
      <c r="E57" s="68"/>
      <c r="F57" s="60">
        <v>45747</v>
      </c>
      <c r="G57" s="247">
        <v>45834</v>
      </c>
      <c r="H57" s="51" t="s">
        <v>139</v>
      </c>
      <c r="I57" s="51" t="s">
        <v>111</v>
      </c>
      <c r="J57" s="287">
        <v>32485000</v>
      </c>
      <c r="K57" s="288">
        <f>Tabela1[[#This Row],[KWOTA PRZEZNACZONA NA DOFINANSOWANIE PROJEKTÓW '[PLN']]]/4.45</f>
        <v>7300000</v>
      </c>
      <c r="L57" s="66" t="s">
        <v>20</v>
      </c>
      <c r="M57" s="52" t="s">
        <v>21</v>
      </c>
      <c r="N57" s="47" t="str">
        <f>_xlfn.IFNA(VLOOKUP(Tabela1[[#This Row],[NR DZIAŁANIA]],lista!$A$2:$E$111,5,FALSE),"")</f>
        <v>Departament Europejskiego Funduszu Społecznego</v>
      </c>
      <c r="O57" s="215"/>
      <c r="P57" s="238">
        <v>45658</v>
      </c>
    </row>
    <row r="58" spans="1:16" s="46" customFormat="1" ht="81" customHeight="1" x14ac:dyDescent="0.3">
      <c r="A58" s="79" t="str">
        <f>_xlfn.IFNA(VLOOKUP(Tabela1[[#This Row],[NR DZIAŁANIA]],lista!$A$2:$E$111,2,FALSE),"")</f>
        <v>ESO4.12</v>
      </c>
      <c r="B58" s="48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58" s="49" t="s">
        <v>140</v>
      </c>
      <c r="D58" s="48" t="str">
        <f>_xlfn.IFNA(VLOOKUP(Tabela1[[#This Row],[NR DZIAŁANIA]],lista!$A$2:$E$111,4,FALSE),"")</f>
        <v>Wsparcie społeczności objętych LSR</v>
      </c>
      <c r="E58" s="68"/>
      <c r="F58" s="274">
        <v>45625</v>
      </c>
      <c r="G58" s="274">
        <v>45692</v>
      </c>
      <c r="H58" s="47" t="s">
        <v>141</v>
      </c>
      <c r="I58" s="47" t="s">
        <v>127</v>
      </c>
      <c r="J58" s="53">
        <v>25410296.550000001</v>
      </c>
      <c r="K58" s="54">
        <f>Tabela1[[#This Row],[KWOTA PRZEZNACZONA NA DOFINANSOWANIE PROJEKTÓW '[PLN']]]/4.45</f>
        <v>5710179</v>
      </c>
      <c r="L58" s="66" t="s">
        <v>20</v>
      </c>
      <c r="M58" s="52" t="s">
        <v>21</v>
      </c>
      <c r="N58" s="47" t="str">
        <f>_xlfn.IFNA(VLOOKUP(Tabela1[[#This Row],[NR DZIAŁANIA]],lista!$A$2:$E$111,5,FALSE),"")</f>
        <v>Departament Europejskiego Funduszu Społecznego</v>
      </c>
      <c r="O58" s="213"/>
      <c r="P58" s="238">
        <f t="shared" si="2"/>
        <v>45625</v>
      </c>
    </row>
    <row r="59" spans="1:16" ht="78.599999999999994" customHeight="1" x14ac:dyDescent="0.3">
      <c r="A59" s="79" t="str">
        <f>_xlfn.IFNA(VLOOKUP(Tabela1[[#This Row],[NR DZIAŁANIA]],lista!$A$2:$E$111,2,FALSE),"")</f>
        <v>ESO4.12</v>
      </c>
      <c r="B59" s="48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59" s="49" t="s">
        <v>142</v>
      </c>
      <c r="D59" s="48" t="str">
        <f>_xlfn.IFNA(VLOOKUP(Tabela1[[#This Row],[NR DZIAŁANIA]],lista!$A$2:$E$111,4,FALSE),"")</f>
        <v>Wsparcie społeczności mniejszościowych, w tym społeczności romskich</v>
      </c>
      <c r="E59" s="68"/>
      <c r="F59" s="248">
        <v>45618</v>
      </c>
      <c r="G59" s="248">
        <v>45677</v>
      </c>
      <c r="H59" s="48" t="s">
        <v>143</v>
      </c>
      <c r="I59" s="75" t="s">
        <v>111</v>
      </c>
      <c r="J59" s="53">
        <v>11347500</v>
      </c>
      <c r="K59" s="54">
        <f>Tabela1[[#This Row],[KWOTA PRZEZNACZONA NA DOFINANSOWANIE PROJEKTÓW '[PLN']]]/4.45</f>
        <v>2550000</v>
      </c>
      <c r="L59" s="66" t="s">
        <v>20</v>
      </c>
      <c r="M59" s="52" t="s">
        <v>21</v>
      </c>
      <c r="N59" s="47" t="str">
        <f>_xlfn.IFNA(VLOOKUP(Tabela1[[#This Row],[NR DZIAŁANIA]],lista!$A$2:$E$111,5,FALSE),"")</f>
        <v>Departament Europejskiego Funduszu Społecznego</v>
      </c>
      <c r="O59" s="215"/>
      <c r="P59" s="238">
        <f t="shared" si="2"/>
        <v>45618</v>
      </c>
    </row>
    <row r="60" spans="1:16" ht="85.2" customHeight="1" x14ac:dyDescent="0.3">
      <c r="A60" s="79" t="str">
        <f>_xlfn.IFNA(VLOOKUP(Tabela1[[#This Row],[NR DZIAŁANIA]],lista!$A$2:$E$111,2,FALSE),"")</f>
        <v>ESO4.12</v>
      </c>
      <c r="B60" s="83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60" s="84" t="s">
        <v>144</v>
      </c>
      <c r="D60" s="83" t="str">
        <f>_xlfn.IFNA(VLOOKUP(Tabela1[[#This Row],[NR DZIAŁANIA]],lista!$A$2:$E$111,4,FALSE),"")</f>
        <v>Rozwój dialogu obywatelskiego</v>
      </c>
      <c r="E60" s="85"/>
      <c r="F60" s="123">
        <v>45642</v>
      </c>
      <c r="G60" s="123">
        <v>45705</v>
      </c>
      <c r="H60" s="83" t="s">
        <v>145</v>
      </c>
      <c r="I60" s="291" t="s">
        <v>111</v>
      </c>
      <c r="J60" s="87">
        <v>4450000</v>
      </c>
      <c r="K60" s="88">
        <f>Tabela1[[#This Row],[KWOTA PRZEZNACZONA NA DOFINANSOWANIE PROJEKTÓW '[PLN']]]/4.45</f>
        <v>1000000</v>
      </c>
      <c r="L60" s="85" t="s">
        <v>20</v>
      </c>
      <c r="M60" s="146" t="s">
        <v>21</v>
      </c>
      <c r="N60" s="86" t="str">
        <f>_xlfn.IFNA(VLOOKUP(Tabela1[[#This Row],[NR DZIAŁANIA]],lista!$A$2:$E$111,5,FALSE),"")</f>
        <v>Departament Europejskiego Funduszu Społecznego</v>
      </c>
      <c r="O60" s="217"/>
      <c r="P60" s="238">
        <f t="shared" si="2"/>
        <v>45642</v>
      </c>
    </row>
    <row r="61" spans="1:16" ht="85.2" customHeight="1" x14ac:dyDescent="0.3">
      <c r="A61" s="297" t="str">
        <f>_xlfn.IFNA(VLOOKUP(Tabela1[[#This Row],[NR DZIAŁANIA]],lista!$A$2:$E$111,2,FALSE),"")</f>
        <v>ESO4.12</v>
      </c>
      <c r="B61" s="298" t="str">
        <f>_xlfn.IFNA(VLOOKUP(Tabela1[[#This Row],[NR DZIAŁANIA]],lista!$A$2:$E$111,3,FALSE),"")</f>
        <v xml:space="preserve">Promowanie integracji społecznej osób zagrożonych ubóstwem lub wykluczeniem społecznym, w tym osób najbardziej potrzebujących i dzieci </v>
      </c>
      <c r="C61" s="49" t="s">
        <v>144</v>
      </c>
      <c r="D61" s="298" t="str">
        <f>_xlfn.IFNA(VLOOKUP(Tabela1[[#This Row],[NR DZIAŁANIA]],lista!$A$2:$E$111,4,FALSE),"")</f>
        <v>Rozwój dialogu obywatelskiego</v>
      </c>
      <c r="E61" s="299" t="s">
        <v>516</v>
      </c>
      <c r="F61" s="60">
        <v>45747</v>
      </c>
      <c r="G61" s="60">
        <v>45789</v>
      </c>
      <c r="H61" s="48" t="s">
        <v>515</v>
      </c>
      <c r="I61" s="51" t="s">
        <v>124</v>
      </c>
      <c r="J61" s="58">
        <v>8900000</v>
      </c>
      <c r="K61" s="54">
        <f>[1]!Tabela1[[#This Row],[KWOTA PRZEZNACZONA NA DOFINANSOWANIE PROJEKTÓW '[PLN']]]/4.45</f>
        <v>2000000</v>
      </c>
      <c r="L61" s="68" t="s">
        <v>69</v>
      </c>
      <c r="M61" s="146" t="s">
        <v>21</v>
      </c>
      <c r="N61" s="294" t="str">
        <f>_xlfn.IFNA(VLOOKUP(Tabela1[[#This Row],[NR DZIAŁANIA]],lista!$A$2:$E$111,5,FALSE),"")</f>
        <v>Departament Europejskiego Funduszu Społecznego</v>
      </c>
      <c r="O61" s="295"/>
      <c r="P61" s="296">
        <f>F61</f>
        <v>45747</v>
      </c>
    </row>
    <row r="62" spans="1:16" ht="30" customHeight="1" x14ac:dyDescent="0.3">
      <c r="A62" s="140" t="s">
        <v>146</v>
      </c>
      <c r="B62" s="80"/>
      <c r="C62" s="234"/>
      <c r="D62" s="135"/>
      <c r="E62" s="136"/>
      <c r="F62" s="137"/>
      <c r="G62" s="137"/>
      <c r="H62" s="133"/>
      <c r="I62" s="138"/>
      <c r="J62" s="139"/>
      <c r="K62" s="110"/>
      <c r="L62" s="137"/>
      <c r="M62" s="140"/>
      <c r="N62" s="133"/>
      <c r="O62" s="209"/>
      <c r="P62" s="238"/>
    </row>
    <row r="63" spans="1:16" ht="158.4" customHeight="1" x14ac:dyDescent="0.3">
      <c r="A63" s="204" t="str">
        <f>_xlfn.IFNA(VLOOKUP(Tabela1[[#This Row],[NR DZIAŁANIA]],lista!$A$2:$E$111,2,FALSE),"")</f>
        <v>RSO4.2</v>
      </c>
      <c r="B63" s="232" t="s">
        <v>147</v>
      </c>
      <c r="C63" s="49" t="s">
        <v>148</v>
      </c>
      <c r="D63" s="233" t="str">
        <f>_xlfn.IFNA(VLOOKUP(Tabela1[[#This Row],[NR DZIAŁANIA]],lista!$A$2:$E$111,4,FALSE),"")</f>
        <v>Infrastruktura szkolnictwa wyższego</v>
      </c>
      <c r="E63" s="68" t="s">
        <v>149</v>
      </c>
      <c r="F63" s="70" t="s">
        <v>150</v>
      </c>
      <c r="G63" s="70" t="s">
        <v>151</v>
      </c>
      <c r="H63" s="51" t="s">
        <v>152</v>
      </c>
      <c r="I63" s="47" t="s">
        <v>153</v>
      </c>
      <c r="J63" s="58">
        <v>15575000</v>
      </c>
      <c r="K63" s="54">
        <f>Tabela1[[#This Row],[KWOTA PRZEZNACZONA NA DOFINANSOWANIE PROJEKTÓW '[PLN']]]/4.45</f>
        <v>3500000</v>
      </c>
      <c r="L63" s="76" t="s">
        <v>69</v>
      </c>
      <c r="M63" s="57" t="s">
        <v>154</v>
      </c>
      <c r="N63" s="47" t="str">
        <f>_xlfn.IFNA(VLOOKUP(Tabela1[[#This Row],[NR DZIAŁANIA]],lista!$A$2:$E$111,5,FALSE),"")</f>
        <v>Departament Europejskiego Funduszu Rozwoju Regionalnego</v>
      </c>
      <c r="O63" s="212"/>
      <c r="P63" s="238">
        <v>45748</v>
      </c>
    </row>
    <row r="64" spans="1:16" s="42" customFormat="1" ht="138.6" customHeight="1" x14ac:dyDescent="0.3">
      <c r="A64" s="204" t="str">
        <f>_xlfn.IFNA(VLOOKUP(Tabela1[[#This Row],[NR DZIAŁANIA]],lista!$A$2:$E$111,2,FALSE),"")</f>
        <v>RSO4.3</v>
      </c>
      <c r="B64" s="47" t="str">
        <f>_xlfn.IFNA(VLOOKUP(Tabela1[[#This Row],[NR DZIAŁANIA]],lista!$A$2:$E$111,3,FALSE),"")</f>
        <v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v>
      </c>
      <c r="C64" s="128" t="s">
        <v>155</v>
      </c>
      <c r="D64" s="47" t="str">
        <f>_xlfn.IFNA(VLOOKUP(Tabela1[[#This Row],[NR DZIAŁANIA]],lista!$A$2:$E$111,4,FALSE),"")</f>
        <v>Infrastruktura usług społecznych</v>
      </c>
      <c r="E64" s="68"/>
      <c r="F64" s="256">
        <v>45930</v>
      </c>
      <c r="G64" s="256">
        <v>46009</v>
      </c>
      <c r="H64" s="51" t="s">
        <v>156</v>
      </c>
      <c r="I64" s="47" t="s">
        <v>157</v>
      </c>
      <c r="J64" s="58">
        <v>92664098.849999994</v>
      </c>
      <c r="K64" s="54">
        <f>Tabela1[[#This Row],[KWOTA PRZEZNACZONA NA DOFINANSOWANIE PROJEKTÓW '[PLN']]]/4.45</f>
        <v>20823392.999999996</v>
      </c>
      <c r="L64" s="76" t="s">
        <v>20</v>
      </c>
      <c r="M64" s="57" t="s">
        <v>21</v>
      </c>
      <c r="N64" s="47" t="str">
        <f>_xlfn.IFNA(VLOOKUP(Tabela1[[#This Row],[NR DZIAŁANIA]],lista!$A$2:$E$111,5,FALSE),"")</f>
        <v>Departament Europejskiego Funduszu Rozwoju Regionalnego</v>
      </c>
      <c r="O64" s="212"/>
      <c r="P64" s="238">
        <f>F64</f>
        <v>45930</v>
      </c>
    </row>
    <row r="65" spans="1:16" s="42" customFormat="1" ht="123.75" customHeight="1" x14ac:dyDescent="0.3">
      <c r="A65" s="204" t="str">
        <f>_xlfn.IFNA(VLOOKUP(Tabela1[[#This Row],[NR DZIAŁANIA]],lista!$A$2:$E$111,2,FALSE),"")</f>
        <v>RSO4.5</v>
      </c>
      <c r="B65" s="47" t="str">
        <f>_xlfn.IFNA(VLOOKUP(Tabela1[[#This Row],[NR DZIAŁANIA]],lista!$A$2:$E$111,3,FALSE),"")</f>
        <v>Zapewnianie równego dostępu do opieki zdrowotnej i wspieranie odporności systemów opieki zdrowotnej, w tym podstawowej opieki zdrowotnej, oraz wspieranie przechodzenia od opieki instytucjonalnej do opieki rodzinnej i środowiskowej</v>
      </c>
      <c r="C65" s="128" t="s">
        <v>158</v>
      </c>
      <c r="D65" s="47" t="str">
        <f>_xlfn.IFNA(VLOOKUP(Tabela1[[#This Row],[NR DZIAŁANIA]],lista!$A$2:$E$111,4,FALSE),"")</f>
        <v>E-zdrowie</v>
      </c>
      <c r="E65" s="205"/>
      <c r="F65" s="200" t="s">
        <v>151</v>
      </c>
      <c r="G65" s="200" t="s">
        <v>36</v>
      </c>
      <c r="H65" s="47" t="s">
        <v>159</v>
      </c>
      <c r="I65" s="47" t="s">
        <v>160</v>
      </c>
      <c r="J65" s="64">
        <v>57581762.899999999</v>
      </c>
      <c r="K65" s="61">
        <f>Tabela1[[#This Row],[KWOTA PRZEZNACZONA NA DOFINANSOWANIE PROJEKTÓW '[PLN']]]/4.45</f>
        <v>12939722</v>
      </c>
      <c r="L65" s="62" t="s">
        <v>20</v>
      </c>
      <c r="M65" s="57" t="s">
        <v>21</v>
      </c>
      <c r="N65" s="47" t="str">
        <f>_xlfn.IFNA(VLOOKUP(Tabela1[[#This Row],[NR DZIAŁANIA]],lista!$A$2:$E$111,5,FALSE),"")</f>
        <v>Departament Europejskiego Funduszu Rozwoju Regionalnego</v>
      </c>
      <c r="O65" s="212"/>
      <c r="P65" s="238">
        <v>45839</v>
      </c>
    </row>
    <row r="66" spans="1:16" s="42" customFormat="1" ht="149.25" customHeight="1" x14ac:dyDescent="0.3">
      <c r="A66" s="204" t="str">
        <f>_xlfn.IFNA(VLOOKUP(Tabela1[[#This Row],[NR DZIAŁANIA]],lista!$A$2:$E$111,2,FALSE),"")</f>
        <v>RSO4.5</v>
      </c>
      <c r="B66" s="47" t="str">
        <f>_xlfn.IFNA(VLOOKUP(Tabela1[[#This Row],[NR DZIAŁANIA]],lista!$A$2:$E$111,3,FALSE),"")</f>
        <v>Zapewnianie równego dostępu do opieki zdrowotnej i wspieranie odporności systemów opieki zdrowotnej, w tym podstawowej opieki zdrowotnej, oraz wspieranie przechodzenia od opieki instytucjonalnej do opieki rodzinnej i środowiskowej</v>
      </c>
      <c r="C66" s="49" t="s">
        <v>161</v>
      </c>
      <c r="D66" s="47" t="str">
        <f>_xlfn.IFNA(VLOOKUP(Tabela1[[#This Row],[NR DZIAŁANIA]],lista!$A$2:$E$111,4,FALSE),"")</f>
        <v>Infrastruktura ochrony zdrowia</v>
      </c>
      <c r="E66" s="205"/>
      <c r="F66" s="256">
        <v>45838</v>
      </c>
      <c r="G66" s="256">
        <v>45898</v>
      </c>
      <c r="H66" s="47" t="s">
        <v>162</v>
      </c>
      <c r="I66" s="47" t="s">
        <v>160</v>
      </c>
      <c r="J66" s="64">
        <v>102190000</v>
      </c>
      <c r="K66" s="61">
        <f>Tabela1[[#This Row],[KWOTA PRZEZNACZONA NA DOFINANSOWANIE PROJEKTÓW '[PLN']]]/4.45</f>
        <v>22964044.943820223</v>
      </c>
      <c r="L66" s="62" t="s">
        <v>20</v>
      </c>
      <c r="M66" s="63" t="s">
        <v>163</v>
      </c>
      <c r="N66" s="47" t="str">
        <f>_xlfn.IFNA(VLOOKUP(Tabela1[[#This Row],[NR DZIAŁANIA]],lista!$A$2:$E$111,5,FALSE),"")</f>
        <v>Departament Europejskiego Funduszu Rozwoju Regionalnego</v>
      </c>
      <c r="O66" s="212" t="s">
        <v>519</v>
      </c>
      <c r="P66" s="238">
        <v>45748</v>
      </c>
    </row>
    <row r="67" spans="1:16" s="34" customFormat="1" ht="30" customHeight="1" x14ac:dyDescent="0.3">
      <c r="A67" s="132" t="s">
        <v>164</v>
      </c>
      <c r="B67" s="133"/>
      <c r="C67" s="134"/>
      <c r="D67" s="135"/>
      <c r="E67" s="136"/>
      <c r="F67" s="137"/>
      <c r="G67" s="137"/>
      <c r="H67" s="133"/>
      <c r="I67" s="138"/>
      <c r="J67" s="139"/>
      <c r="K67" s="110"/>
      <c r="L67" s="137"/>
      <c r="M67" s="140"/>
      <c r="N67" s="133"/>
      <c r="O67" s="209"/>
      <c r="P67" s="238"/>
    </row>
    <row r="68" spans="1:16" ht="90" x14ac:dyDescent="0.3">
      <c r="A68" s="79" t="str">
        <f>_xlfn.IFNA(VLOOKUP(Tabela1[[#This Row],[NR DZIAŁANIA]],lista!$A$2:$E$111,2,FALSE),"")</f>
        <v>RSO5.1</v>
      </c>
      <c r="B68" s="48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8" s="49" t="s">
        <v>165</v>
      </c>
      <c r="D68" s="83" t="str">
        <f>_xlfn.IFNA(VLOOKUP(Tabela1[[#This Row],[NR DZIAŁANIA]],lista!$A$2:$E$111,4,FALSE),"")</f>
        <v>Zwiększenie roli kultury i turystyki w rozwoju subregionalnym - ZIT</v>
      </c>
      <c r="E68" s="68" t="s">
        <v>43</v>
      </c>
      <c r="F68" s="60">
        <v>45744</v>
      </c>
      <c r="G68" s="77">
        <v>45834</v>
      </c>
      <c r="H68" s="47" t="s">
        <v>166</v>
      </c>
      <c r="I68" s="47" t="s">
        <v>167</v>
      </c>
      <c r="J68" s="58">
        <v>40000000</v>
      </c>
      <c r="K68" s="54">
        <f>Tabela1[[#This Row],[KWOTA PRZEZNACZONA NA DOFINANSOWANIE PROJEKTÓW '[PLN']]]/4.45</f>
        <v>8988764.0449438207</v>
      </c>
      <c r="L68" s="68" t="s">
        <v>20</v>
      </c>
      <c r="M68" s="57" t="s">
        <v>168</v>
      </c>
      <c r="N68" s="47" t="s">
        <v>60</v>
      </c>
      <c r="O68" s="213"/>
      <c r="P68" s="238">
        <v>45658</v>
      </c>
    </row>
    <row r="69" spans="1:16" ht="90" x14ac:dyDescent="0.3">
      <c r="A69" s="79" t="str">
        <f>_xlfn.IFNA(VLOOKUP(Tabela1[[#This Row],[NR DZIAŁANIA]],lista!$A$2:$E$111,2,FALSE),"")</f>
        <v>RSO5.1</v>
      </c>
      <c r="B69" s="48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69" s="49" t="s">
        <v>165</v>
      </c>
      <c r="D69" s="48" t="str">
        <f>_xlfn.IFNA(VLOOKUP(Tabela1[[#This Row],[NR DZIAŁANIA]],lista!$A$2:$E$111,4,FALSE),"")</f>
        <v>Zwiększenie roli kultury i turystyki w rozwoju subregionalnym - ZIT</v>
      </c>
      <c r="E69" s="68" t="s">
        <v>35</v>
      </c>
      <c r="F69" s="77" t="s">
        <v>36</v>
      </c>
      <c r="G69" s="77" t="s">
        <v>37</v>
      </c>
      <c r="H69" s="47" t="s">
        <v>166</v>
      </c>
      <c r="I69" s="47" t="s">
        <v>167</v>
      </c>
      <c r="J69" s="58">
        <v>80000000</v>
      </c>
      <c r="K69" s="54">
        <f>Tabela1[[#This Row],[KWOTA PRZEZNACZONA NA DOFINANSOWANIE PROJEKTÓW '[PLN']]]/4.45</f>
        <v>17977528.089887641</v>
      </c>
      <c r="L69" s="68" t="s">
        <v>20</v>
      </c>
      <c r="M69" s="57" t="s">
        <v>169</v>
      </c>
      <c r="N69" s="47" t="str">
        <f>_xlfn.IFNA(VLOOKUP(Tabela1[[#This Row],[NR DZIAŁANIA]],lista!$A$2:$E$111,5,FALSE),"")</f>
        <v>Departament Europejskiego Funduszu Rozwoju Regionalnego</v>
      </c>
      <c r="O69" s="213"/>
      <c r="P69" s="238">
        <v>45962</v>
      </c>
    </row>
    <row r="70" spans="1:16" ht="94.5" customHeight="1" x14ac:dyDescent="0.3">
      <c r="A70" s="79" t="str">
        <f>_xlfn.IFNA(VLOOKUP(Tabela1[[#This Row],[NR DZIAŁANIA]],lista!$A$2:$E$111,2,FALSE),"")</f>
        <v>RSO5.1</v>
      </c>
      <c r="B70" s="48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70" s="49" t="s">
        <v>165</v>
      </c>
      <c r="D70" s="48" t="str">
        <f>_xlfn.IFNA(VLOOKUP(Tabela1[[#This Row],[NR DZIAŁANIA]],lista!$A$2:$E$111,4,FALSE),"")</f>
        <v>Zwiększenie roli kultury i turystyki w rozwoju subregionalnym - ZIT</v>
      </c>
      <c r="E70" s="68" t="s">
        <v>32</v>
      </c>
      <c r="F70" s="77" t="s">
        <v>151</v>
      </c>
      <c r="G70" s="77" t="s">
        <v>36</v>
      </c>
      <c r="H70" s="47" t="s">
        <v>166</v>
      </c>
      <c r="I70" s="47" t="s">
        <v>167</v>
      </c>
      <c r="J70" s="58">
        <v>50000000</v>
      </c>
      <c r="K70" s="54">
        <f>Tabela1[[#This Row],[KWOTA PRZEZNACZONA NA DOFINANSOWANIE PROJEKTÓW '[PLN']]]/4.45</f>
        <v>11235955.056179775</v>
      </c>
      <c r="L70" s="68" t="s">
        <v>20</v>
      </c>
      <c r="M70" s="57" t="s">
        <v>170</v>
      </c>
      <c r="N70" s="47" t="str">
        <f>_xlfn.IFNA(VLOOKUP(Tabela1[[#This Row],[NR DZIAŁANIA]],lista!$A$2:$E$111,5,FALSE),"")</f>
        <v>Departament Europejskiego Funduszu Rozwoju Regionalnego</v>
      </c>
      <c r="O70" s="213"/>
      <c r="P70" s="238">
        <v>45902</v>
      </c>
    </row>
    <row r="71" spans="1:16" ht="94.5" customHeight="1" x14ac:dyDescent="0.3">
      <c r="A71" s="82" t="str">
        <f>_xlfn.IFNA(VLOOKUP(Tabela1[[#This Row],[NR DZIAŁANIA]],lista!$A$2:$E$111,2,FALSE),"")</f>
        <v>RSO5.1</v>
      </c>
      <c r="B71" s="48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71" s="49" t="s">
        <v>165</v>
      </c>
      <c r="D71" s="83" t="str">
        <f>_xlfn.IFNA(VLOOKUP(Tabela1[[#This Row],[NR DZIAŁANIA]],lista!$A$2:$E$111,4,FALSE),"")</f>
        <v>Zwiększenie roli kultury i turystyki w rozwoju subregionalnym - ZIT</v>
      </c>
      <c r="E71" s="68" t="s">
        <v>41</v>
      </c>
      <c r="F71" s="77" t="s">
        <v>150</v>
      </c>
      <c r="G71" s="77" t="s">
        <v>151</v>
      </c>
      <c r="H71" s="47" t="s">
        <v>166</v>
      </c>
      <c r="I71" s="47" t="s">
        <v>167</v>
      </c>
      <c r="J71" s="58">
        <v>27000000</v>
      </c>
      <c r="K71" s="54">
        <f>Tabela1[[#This Row],[KWOTA PRZEZNACZONA NA DOFINANSOWANIE PROJEKTÓW '[PLN']]]/4.45</f>
        <v>6067415.7303370787</v>
      </c>
      <c r="L71" s="68" t="s">
        <v>20</v>
      </c>
      <c r="M71" s="57" t="s">
        <v>171</v>
      </c>
      <c r="N71" s="47" t="str">
        <f>_xlfn.IFNA(VLOOKUP(Tabela1[[#This Row],[NR DZIAŁANIA]],lista!$A$2:$E$111,5,FALSE),"")</f>
        <v>Departament Europejskiego Funduszu Rozwoju Regionalnego</v>
      </c>
      <c r="O71" s="213"/>
      <c r="P71" s="238">
        <v>45748</v>
      </c>
    </row>
    <row r="72" spans="1:16" s="42" customFormat="1" ht="115.5" customHeight="1" x14ac:dyDescent="0.3">
      <c r="A72" s="82" t="str">
        <f>_xlfn.IFNA(VLOOKUP(Tabela1[[#This Row],[NR DZIAŁANIA]],lista!$A$2:$E$111,2,FALSE),"")</f>
        <v>RSO5.1</v>
      </c>
      <c r="B72" s="83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72" s="84" t="s">
        <v>172</v>
      </c>
      <c r="D72" s="83" t="str">
        <f>_xlfn.IFNA(VLOOKUP(Tabela1[[#This Row],[NR DZIAŁANIA]],lista!$A$2:$E$111,4,FALSE),"")</f>
        <v>Rozwój ZIT</v>
      </c>
      <c r="E72" s="85"/>
      <c r="F72" s="123">
        <v>45077</v>
      </c>
      <c r="G72" s="124">
        <v>46752</v>
      </c>
      <c r="H72" s="86" t="s">
        <v>173</v>
      </c>
      <c r="I72" s="86" t="s">
        <v>174</v>
      </c>
      <c r="J72" s="87">
        <v>25677746</v>
      </c>
      <c r="K72" s="88">
        <f>Tabela1[[#This Row],[KWOTA PRZEZNACZONA NA DOFINANSOWANIE PROJEKTÓW '[PLN']]]/4.45</f>
        <v>5770280</v>
      </c>
      <c r="L72" s="85" t="s">
        <v>20</v>
      </c>
      <c r="M72" s="125" t="s">
        <v>21</v>
      </c>
      <c r="N72" s="86" t="str">
        <f>_xlfn.IFNA(VLOOKUP(Tabela1[[#This Row],[NR DZIAŁANIA]],lista!$A$2:$E$111,5,FALSE),"")</f>
        <v>Departament Europejskiego Funduszu Społecznego</v>
      </c>
      <c r="O72" s="218"/>
      <c r="P72" s="238">
        <f t="shared" ref="P72:P104" si="3">F72</f>
        <v>45077</v>
      </c>
    </row>
    <row r="73" spans="1:16" ht="90" customHeight="1" x14ac:dyDescent="0.3">
      <c r="A73" s="79" t="str">
        <f>_xlfn.IFNA(VLOOKUP(Tabela1[[#This Row],[NR DZIAŁANIA]],lista!$A$2:$E$111,2,FALSE),"")</f>
        <v>RSO5.1</v>
      </c>
      <c r="B73" s="48" t="str">
        <f>_xlfn.IFNA(VLOOKUP(Tabela1[[#This Row],[NR DZIAŁANIA]],lista!$A$2:$E$111,3,FALSE),"")</f>
        <v>Wspieranie zintegrowanego i sprzyjającego włączeniu społecznemu rozwoju społecznego, gospodarczego i środowiskowego, kultury, dziedzictwa naturalnego, zrównoważonej turystyki i bezpieczeństwa na obszarach miejskich</v>
      </c>
      <c r="C73" s="49" t="s">
        <v>175</v>
      </c>
      <c r="D73" s="48" t="str">
        <f>_xlfn.IFNA(VLOOKUP(Tabela1[[#This Row],[NR DZIAŁANIA]],lista!$A$2:$E$111,4,FALSE),"")</f>
        <v>Rewitalizacja obszarów miejskich</v>
      </c>
      <c r="E73" s="68"/>
      <c r="F73" s="60">
        <v>45716</v>
      </c>
      <c r="G73" s="60">
        <v>45806</v>
      </c>
      <c r="H73" s="47" t="s">
        <v>176</v>
      </c>
      <c r="I73" s="47" t="s">
        <v>177</v>
      </c>
      <c r="J73" s="58">
        <v>323645000</v>
      </c>
      <c r="K73" s="54">
        <f>Tabela1[[#This Row],[KWOTA PRZEZNACZONA NA DOFINANSOWANIE PROJEKTÓW '[PLN']]]/4.45</f>
        <v>72729213.483146071</v>
      </c>
      <c r="L73" s="68" t="s">
        <v>20</v>
      </c>
      <c r="M73" s="57" t="s">
        <v>21</v>
      </c>
      <c r="N73" s="47" t="str">
        <f>_xlfn.IFNA(VLOOKUP(Tabela1[[#This Row],[NR DZIAŁANIA]],lista!$A$2:$E$111,5,FALSE),"")</f>
        <v>Departament Europejskiego Funduszu Rozwoju Regionalnego</v>
      </c>
      <c r="O73" s="257"/>
      <c r="P73" s="238">
        <f>F73</f>
        <v>45716</v>
      </c>
    </row>
    <row r="74" spans="1:16" ht="90" customHeight="1" x14ac:dyDescent="0.3">
      <c r="A74" s="79" t="str">
        <f>_xlfn.IFNA(VLOOKUP(Tabela1[[#This Row],[NR DZIAŁANIA]],lista!$A$2:$E$111,2,FALSE),"")</f>
        <v>RSO5.2</v>
      </c>
      <c r="B74" s="48" t="str">
        <f>_xlfn.IFNA(VLOOKUP(Tabela1[[#This Row],[NR DZIAŁANIA]],lista!$A$2:$E$111,3,FALSE),"")</f>
        <v xml:space="preserve">Wspieranie zintegrowanego i sprzyjającego włączeniu społecznemu rozwoju społecznego, gospodarczego i środowiskowego na poziomie lokalnym, kultury, dziedzictwa naturalnego, zrównoważonej turystyki i bezpieczeństwa na obszarach innych niż miejskie </v>
      </c>
      <c r="C74" s="49" t="s">
        <v>178</v>
      </c>
      <c r="D74" s="48" t="str">
        <f>_xlfn.IFNA(VLOOKUP(Tabela1[[#This Row],[NR DZIAŁANIA]],lista!$A$2:$E$111,4,FALSE),"")</f>
        <v>Rewitalizacja obszarów wiejskich</v>
      </c>
      <c r="E74" s="68"/>
      <c r="F74" s="60">
        <v>45716</v>
      </c>
      <c r="G74" s="60">
        <v>45806</v>
      </c>
      <c r="H74" s="47" t="s">
        <v>179</v>
      </c>
      <c r="I74" s="47" t="s">
        <v>180</v>
      </c>
      <c r="J74" s="58">
        <v>98500000</v>
      </c>
      <c r="K74" s="54">
        <f>Tabela1[[#This Row],[KWOTA PRZEZNACZONA NA DOFINANSOWANIE PROJEKTÓW '[PLN']]]/4.45</f>
        <v>22134831.460674156</v>
      </c>
      <c r="L74" s="68" t="s">
        <v>20</v>
      </c>
      <c r="M74" s="57" t="s">
        <v>21</v>
      </c>
      <c r="N74" s="47" t="str">
        <f>_xlfn.IFNA(VLOOKUP(Tabela1[[#This Row],[NR DZIAŁANIA]],lista!$A$2:$E$111,5,FALSE),"")</f>
        <v>Departament Europejskiego Funduszu Rozwoju Regionalnego</v>
      </c>
      <c r="O74" s="257"/>
      <c r="P74" s="238">
        <f>F74</f>
        <v>45716</v>
      </c>
    </row>
    <row r="75" spans="1:16" ht="30" customHeight="1" x14ac:dyDescent="0.3">
      <c r="A75" s="132" t="s">
        <v>181</v>
      </c>
      <c r="B75" s="133"/>
      <c r="C75" s="134"/>
      <c r="D75" s="135"/>
      <c r="E75" s="136"/>
      <c r="F75" s="137"/>
      <c r="G75" s="137"/>
      <c r="H75" s="133"/>
      <c r="I75" s="138"/>
      <c r="J75" s="139"/>
      <c r="K75" s="110"/>
      <c r="L75" s="137"/>
      <c r="M75" s="140"/>
      <c r="N75" s="133"/>
      <c r="O75" s="209"/>
      <c r="P75" s="238"/>
    </row>
    <row r="76" spans="1:16" ht="223.95" customHeight="1" x14ac:dyDescent="0.3">
      <c r="A76" s="79" t="str">
        <f>_xlfn.IFNA(VLOOKUP(Tabela1[[#This Row],[NR DZIAŁANIA]],lista!$A$2:$E$111,2,FALSE),"")</f>
        <v>JSO8.1</v>
      </c>
      <c r="B76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6" s="49" t="s">
        <v>182</v>
      </c>
      <c r="D76" s="48" t="str">
        <f>_xlfn.IFNA(VLOOKUP(Tabela1[[#This Row],[NR DZIAŁANIA]],lista!$A$2:$E$111,4,FALSE),"")</f>
        <v>Wsparcie MŚP na rzecz transformacji</v>
      </c>
      <c r="E76" s="68"/>
      <c r="F76" s="56">
        <v>45687</v>
      </c>
      <c r="G76" s="249">
        <v>45743</v>
      </c>
      <c r="H76" s="55" t="s">
        <v>183</v>
      </c>
      <c r="I76" s="55" t="s">
        <v>184</v>
      </c>
      <c r="J76" s="53">
        <v>50000000</v>
      </c>
      <c r="K76" s="54">
        <f>Tabela1[[#This Row],[KWOTA PRZEZNACZONA NA DOFINANSOWANIE PROJEKTÓW '[PLN']]]/4.45</f>
        <v>11235955.056179775</v>
      </c>
      <c r="L76" s="74" t="s">
        <v>20</v>
      </c>
      <c r="M76" s="55" t="s">
        <v>154</v>
      </c>
      <c r="N76" s="47" t="str">
        <f>_xlfn.IFNA(VLOOKUP(Tabela1[[#This Row],[NR DZIAŁANIA]],lista!$A$2:$E$111,5,FALSE),"")</f>
        <v>Śląskie Centrum Przedsiębiorczości</v>
      </c>
      <c r="O76" s="219" t="s">
        <v>185</v>
      </c>
      <c r="P76" s="238">
        <f t="shared" si="3"/>
        <v>45687</v>
      </c>
    </row>
    <row r="77" spans="1:16" s="33" customFormat="1" ht="153" customHeight="1" x14ac:dyDescent="0.3">
      <c r="A77" s="79" t="str">
        <f>_xlfn.IFNA(VLOOKUP(Tabela1[[#This Row],[NR DZIAŁANIA]],lista!$A$2:$E$111,2,FALSE),"")</f>
        <v>JSO8.1</v>
      </c>
      <c r="B77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7" s="49" t="s">
        <v>182</v>
      </c>
      <c r="D77" s="258" t="s">
        <v>186</v>
      </c>
      <c r="E77" s="293" t="s">
        <v>187</v>
      </c>
      <c r="F77" s="259">
        <v>45747</v>
      </c>
      <c r="G77" s="259">
        <v>45834</v>
      </c>
      <c r="H77" s="260" t="s">
        <v>188</v>
      </c>
      <c r="I77" s="261" t="s">
        <v>19</v>
      </c>
      <c r="J77" s="262">
        <v>200000000</v>
      </c>
      <c r="K77" s="54">
        <f>Tabela1[[#This Row],[KWOTA PRZEZNACZONA NA DOFINANSOWANIE PROJEKTÓW '[PLN']]]/4.45</f>
        <v>44943820.2247191</v>
      </c>
      <c r="L77" s="263" t="s">
        <v>20</v>
      </c>
      <c r="M77" s="263" t="s">
        <v>154</v>
      </c>
      <c r="N77" s="258" t="s">
        <v>189</v>
      </c>
      <c r="O77" s="264" t="s">
        <v>190</v>
      </c>
      <c r="P77" s="238">
        <f>F77</f>
        <v>45747</v>
      </c>
    </row>
    <row r="78" spans="1:16" s="33" customFormat="1" ht="142.80000000000001" customHeight="1" x14ac:dyDescent="0.3">
      <c r="A78" s="79" t="str">
        <f>_xlfn.IFNA(VLOOKUP(Tabela1[[#This Row],[NR DZIAŁANIA]],lista!$A$2:$E$111,2,FALSE),"")</f>
        <v>JSO8.1</v>
      </c>
      <c r="B78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8" s="49" t="s">
        <v>182</v>
      </c>
      <c r="D78" s="48" t="s">
        <v>186</v>
      </c>
      <c r="E78" s="68" t="s">
        <v>187</v>
      </c>
      <c r="F78" s="71">
        <v>46023</v>
      </c>
      <c r="G78" s="71">
        <v>46113</v>
      </c>
      <c r="H78" s="265" t="s">
        <v>191</v>
      </c>
      <c r="I78" s="51" t="s">
        <v>19</v>
      </c>
      <c r="J78" s="67">
        <v>100000000</v>
      </c>
      <c r="K78" s="54">
        <f>Tabela1[[#This Row],[KWOTA PRZEZNACZONA NA DOFINANSOWANIE PROJEKTÓW '[PLN']]]/4.45</f>
        <v>22471910.11235955</v>
      </c>
      <c r="L78" s="51" t="s">
        <v>20</v>
      </c>
      <c r="M78" s="51" t="s">
        <v>154</v>
      </c>
      <c r="N78" s="48" t="s">
        <v>189</v>
      </c>
      <c r="O78" s="213" t="s">
        <v>192</v>
      </c>
      <c r="P78" s="238">
        <f>F78</f>
        <v>46023</v>
      </c>
    </row>
    <row r="79" spans="1:16" ht="120" x14ac:dyDescent="0.3">
      <c r="A79" s="79" t="str">
        <f>_xlfn.IFNA(VLOOKUP(Tabela1[[#This Row],[NR DZIAŁANIA]],lista!$A$2:$E$111,2,FALSE),"")</f>
        <v>JSO8.1</v>
      </c>
      <c r="B79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79" s="49" t="s">
        <v>193</v>
      </c>
      <c r="D79" s="48" t="str">
        <f>_xlfn.IFNA(VLOOKUP(Tabela1[[#This Row],[NR DZIAŁANIA]],lista!$A$2:$E$111,4,FALSE),"")</f>
        <v>Wsparcie dużych przedsiębiorstw na rzecz transformacji</v>
      </c>
      <c r="E79" s="68"/>
      <c r="F79" s="60">
        <v>45617</v>
      </c>
      <c r="G79" s="60">
        <v>45701</v>
      </c>
      <c r="H79" s="55" t="s">
        <v>194</v>
      </c>
      <c r="I79" s="55" t="s">
        <v>195</v>
      </c>
      <c r="J79" s="53">
        <v>315000000</v>
      </c>
      <c r="K79" s="54">
        <f>Tabela1[[#This Row],[KWOTA PRZEZNACZONA NA DOFINANSOWANIE PROJEKTÓW '[PLN']]]/4.45</f>
        <v>70786516.853932574</v>
      </c>
      <c r="L79" s="74" t="s">
        <v>20</v>
      </c>
      <c r="M79" s="51" t="s">
        <v>154</v>
      </c>
      <c r="N79" s="47" t="str">
        <f>_xlfn.IFNA(VLOOKUP(Tabela1[[#This Row],[NR DZIAŁANIA]],lista!$A$2:$E$111,5,FALSE),"")</f>
        <v>Śląskie Centrum Przedsiębiorczości</v>
      </c>
      <c r="O79" s="219" t="s">
        <v>196</v>
      </c>
      <c r="P79" s="238">
        <f>F79</f>
        <v>45617</v>
      </c>
    </row>
    <row r="80" spans="1:16" ht="154.94999999999999" customHeight="1" x14ac:dyDescent="0.3">
      <c r="A80" s="79" t="str">
        <f>_xlfn.IFNA(VLOOKUP(Tabela1[[#This Row],[NR DZIAŁANIA]],lista!$A$2:$E$111,2,FALSE),"")</f>
        <v>JSO8.1</v>
      </c>
      <c r="B80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0" s="49" t="s">
        <v>197</v>
      </c>
      <c r="D80" s="48" t="str">
        <f>_xlfn.IFNA(VLOOKUP(Tabela1[[#This Row],[NR DZIAŁANIA]],lista!$A$2:$E$111,4,FALSE),"")</f>
        <v>Rozwój energetyki rozproszonej opartej o odnawialne źródła energii </v>
      </c>
      <c r="E80" s="68" t="s">
        <v>25</v>
      </c>
      <c r="F80" s="60">
        <v>45596</v>
      </c>
      <c r="G80" s="60">
        <v>45688</v>
      </c>
      <c r="H80" s="47" t="s">
        <v>198</v>
      </c>
      <c r="I80" s="47" t="s">
        <v>30</v>
      </c>
      <c r="J80" s="50">
        <v>21243895.050000001</v>
      </c>
      <c r="K80" s="54">
        <f>Tabela1[[#This Row],[KWOTA PRZEZNACZONA NA DOFINANSOWANIE PROJEKTÓW '[PLN']]]/4.45</f>
        <v>4773909</v>
      </c>
      <c r="L80" s="68" t="s">
        <v>20</v>
      </c>
      <c r="M80" s="48" t="s">
        <v>199</v>
      </c>
      <c r="N80" s="47" t="str">
        <f>_xlfn.IFNA(VLOOKUP(Tabela1[[#This Row],[NR DZIAŁANIA]],lista!$A$2:$E$111,5,FALSE),"")</f>
        <v>Departament Europejskiego Funduszu Rozwoju Regionalnego</v>
      </c>
      <c r="O80" s="213"/>
      <c r="P80" s="238">
        <f t="shared" si="3"/>
        <v>45596</v>
      </c>
    </row>
    <row r="81" spans="1:16" s="42" customFormat="1" ht="151.80000000000001" customHeight="1" x14ac:dyDescent="0.3">
      <c r="A81" s="79" t="str">
        <f>_xlfn.IFNA(VLOOKUP(Tabela1[[#This Row],[NR DZIAŁANIA]],lista!$A$2:$E$111,2,FALSE),"")</f>
        <v>JSO8.1</v>
      </c>
      <c r="B81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1" s="49" t="s">
        <v>197</v>
      </c>
      <c r="D81" s="48" t="str">
        <f>_xlfn.IFNA(VLOOKUP(Tabela1[[#This Row],[NR DZIAŁANIA]],lista!$A$2:$E$111,4,FALSE),"")</f>
        <v>Rozwój energetyki rozproszonej opartej o odnawialne źródła energii </v>
      </c>
      <c r="E81" s="68" t="s">
        <v>35</v>
      </c>
      <c r="F81" s="60">
        <v>45777</v>
      </c>
      <c r="G81" s="60">
        <v>45842</v>
      </c>
      <c r="H81" s="47" t="s">
        <v>200</v>
      </c>
      <c r="I81" s="47" t="s">
        <v>30</v>
      </c>
      <c r="J81" s="50">
        <v>60000000</v>
      </c>
      <c r="K81" s="54">
        <f>Tabela1[[#This Row],[KWOTA PRZEZNACZONA NA DOFINANSOWANIE PROJEKTÓW '[PLN']]]/4.45</f>
        <v>13483146.067415729</v>
      </c>
      <c r="L81" s="68" t="s">
        <v>20</v>
      </c>
      <c r="M81" s="48" t="s">
        <v>199</v>
      </c>
      <c r="N81" s="47" t="str">
        <f>_xlfn.IFNA(VLOOKUP(Tabela1[[#This Row],[NR DZIAŁANIA]],lista!$A$2:$E$111,5,FALSE),"")</f>
        <v>Departament Europejskiego Funduszu Rozwoju Regionalnego</v>
      </c>
      <c r="O81" s="213"/>
      <c r="P81" s="238">
        <f t="shared" si="3"/>
        <v>45777</v>
      </c>
    </row>
    <row r="82" spans="1:16" s="42" customFormat="1" ht="163.19999999999999" customHeight="1" x14ac:dyDescent="0.3">
      <c r="A82" s="79" t="str">
        <f>_xlfn.IFNA(VLOOKUP(Tabela1[[#This Row],[NR DZIAŁANIA]],lista!$A$2:$E$111,2,FALSE),"")</f>
        <v>JSO8.1</v>
      </c>
      <c r="B82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2" s="49" t="s">
        <v>197</v>
      </c>
      <c r="D82" s="48" t="str">
        <f>_xlfn.IFNA(VLOOKUP(Tabela1[[#This Row],[NR DZIAŁANIA]],lista!$A$2:$E$111,4,FALSE),"")</f>
        <v>Rozwój energetyki rozproszonej opartej o odnawialne źródła energii </v>
      </c>
      <c r="E82" s="68" t="s">
        <v>40</v>
      </c>
      <c r="F82" s="60">
        <v>45869</v>
      </c>
      <c r="G82" s="60">
        <v>45961</v>
      </c>
      <c r="H82" s="47" t="s">
        <v>200</v>
      </c>
      <c r="I82" s="47" t="s">
        <v>30</v>
      </c>
      <c r="J82" s="50">
        <v>3500000</v>
      </c>
      <c r="K82" s="54">
        <f>Tabela1[[#This Row],[KWOTA PRZEZNACZONA NA DOFINANSOWANIE PROJEKTÓW '[PLN']]]/4.45</f>
        <v>786516.85393258429</v>
      </c>
      <c r="L82" s="68" t="s">
        <v>20</v>
      </c>
      <c r="M82" s="48" t="s">
        <v>199</v>
      </c>
      <c r="N82" s="47" t="str">
        <f>_xlfn.IFNA(VLOOKUP(Tabela1[[#This Row],[NR DZIAŁANIA]],lista!$A$2:$E$111,5,FALSE),"")</f>
        <v>Departament Europejskiego Funduszu Rozwoju Regionalnego</v>
      </c>
      <c r="O82" s="213"/>
      <c r="P82" s="238">
        <f t="shared" si="3"/>
        <v>45869</v>
      </c>
    </row>
    <row r="83" spans="1:16" s="42" customFormat="1" ht="163.19999999999999" customHeight="1" x14ac:dyDescent="0.3">
      <c r="A83" s="79" t="str">
        <f>_xlfn.IFNA(VLOOKUP(Tabela1[[#This Row],[NR DZIAŁANIA]],lista!$A$2:$E$111,2,FALSE),"")</f>
        <v>JSO8.1</v>
      </c>
      <c r="B83" s="48" t="s">
        <v>201</v>
      </c>
      <c r="C83" s="49" t="s">
        <v>197</v>
      </c>
      <c r="D83" s="48" t="str">
        <f>_xlfn.IFNA(VLOOKUP(Tabela1[[#This Row],[NR DZIAŁANIA]],lista!$A$2:$E$111,4,FALSE),"")</f>
        <v>Rozwój energetyki rozproszonej opartej o odnawialne źródła energii </v>
      </c>
      <c r="E83" s="68" t="s">
        <v>35</v>
      </c>
      <c r="F83" s="60">
        <v>45777</v>
      </c>
      <c r="G83" s="60">
        <v>45842</v>
      </c>
      <c r="H83" s="47" t="s">
        <v>202</v>
      </c>
      <c r="I83" s="47" t="s">
        <v>203</v>
      </c>
      <c r="J83" s="50">
        <v>80000000</v>
      </c>
      <c r="K83" s="54">
        <f>Tabela1[[#This Row],[KWOTA PRZEZNACZONA NA DOFINANSOWANIE PROJEKTÓW '[PLN']]]/4.45</f>
        <v>17977528.089887641</v>
      </c>
      <c r="L83" s="68" t="s">
        <v>20</v>
      </c>
      <c r="M83" s="48" t="s">
        <v>199</v>
      </c>
      <c r="N83" s="47" t="str">
        <f>_xlfn.IFNA(VLOOKUP(Tabela1[[#This Row],[NR DZIAŁANIA]],lista!$A$2:$E$111,5,FALSE),"")</f>
        <v>Departament Europejskiego Funduszu Rozwoju Regionalnego</v>
      </c>
      <c r="O83" s="213"/>
      <c r="P83" s="238">
        <f t="shared" si="3"/>
        <v>45777</v>
      </c>
    </row>
    <row r="84" spans="1:16" s="42" customFormat="1" ht="163.19999999999999" customHeight="1" x14ac:dyDescent="0.3">
      <c r="A84" s="79" t="str">
        <f>_xlfn.IFNA(VLOOKUP(Tabela1[[#This Row],[NR DZIAŁANIA]],lista!$A$2:$E$111,2,FALSE),"")</f>
        <v>JSO8.1</v>
      </c>
      <c r="B84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4" s="49" t="s">
        <v>204</v>
      </c>
      <c r="D84" s="48" t="str">
        <f>_xlfn.IFNA(VLOOKUP(Tabela1[[#This Row],[NR DZIAŁANIA]],lista!$A$2:$E$111,4,FALSE),"")</f>
        <v>Rekultywacja terenów poprzemysłowych, zdewastowanych, zdegradowanych na cele środowiskowe</v>
      </c>
      <c r="E84" s="68" t="s">
        <v>35</v>
      </c>
      <c r="F84" s="60">
        <v>45412</v>
      </c>
      <c r="G84" s="60">
        <v>45565</v>
      </c>
      <c r="H84" s="48" t="s">
        <v>205</v>
      </c>
      <c r="I84" s="47" t="s">
        <v>206</v>
      </c>
      <c r="J84" s="69">
        <f>24433500*4.45*70%</f>
        <v>76110352.5</v>
      </c>
      <c r="K84" s="54">
        <f>Tabela1[[#This Row],[KWOTA PRZEZNACZONA NA DOFINANSOWANIE PROJEKTÓW '[PLN']]]/4.45</f>
        <v>17103450</v>
      </c>
      <c r="L84" s="68" t="s">
        <v>20</v>
      </c>
      <c r="M84" s="47" t="s">
        <v>207</v>
      </c>
      <c r="N84" s="47" t="str">
        <f>_xlfn.IFNA(VLOOKUP(Tabela1[[#This Row],[NR DZIAŁANIA]],lista!$A$2:$E$111,5,FALSE),"")</f>
        <v>Departament Europejskiego Funduszu Rozwoju Regionalnego</v>
      </c>
      <c r="O84" s="213"/>
      <c r="P84" s="238">
        <f t="shared" si="3"/>
        <v>45412</v>
      </c>
    </row>
    <row r="85" spans="1:16" ht="120" x14ac:dyDescent="0.3">
      <c r="A85" s="79" t="str">
        <f>_xlfn.IFNA(VLOOKUP(Tabela1[[#This Row],[NR DZIAŁANIA]],lista!$A$2:$E$111,2,FALSE),"")</f>
        <v>JSO8.1</v>
      </c>
      <c r="B85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5" s="49" t="s">
        <v>204</v>
      </c>
      <c r="D85" s="48" t="str">
        <f>_xlfn.IFNA(VLOOKUP(Tabela1[[#This Row],[NR DZIAŁANIA]],lista!$A$2:$E$111,4,FALSE),"")</f>
        <v>Rekultywacja terenów poprzemysłowych, zdewastowanych, zdegradowanych na cele środowiskowe</v>
      </c>
      <c r="E85" s="68" t="s">
        <v>40</v>
      </c>
      <c r="F85" s="60">
        <v>45412</v>
      </c>
      <c r="G85" s="60">
        <v>45565</v>
      </c>
      <c r="H85" s="48" t="s">
        <v>205</v>
      </c>
      <c r="I85" s="47" t="s">
        <v>206</v>
      </c>
      <c r="J85" s="69">
        <f>4343500*4.45*70%</f>
        <v>13530002.5</v>
      </c>
      <c r="K85" s="54">
        <f>Tabela1[[#This Row],[KWOTA PRZEZNACZONA NA DOFINANSOWANIE PROJEKTÓW '[PLN']]]/4.45</f>
        <v>3040450</v>
      </c>
      <c r="L85" s="68" t="s">
        <v>20</v>
      </c>
      <c r="M85" s="47" t="s">
        <v>208</v>
      </c>
      <c r="N85" s="47" t="str">
        <f>_xlfn.IFNA(VLOOKUP(Tabela1[[#This Row],[NR DZIAŁANIA]],lista!$A$2:$E$111,5,FALSE),"")</f>
        <v>Departament Europejskiego Funduszu Rozwoju Regionalnego</v>
      </c>
      <c r="O85" s="213"/>
      <c r="P85" s="238">
        <f t="shared" si="3"/>
        <v>45412</v>
      </c>
    </row>
    <row r="86" spans="1:16" ht="154.19999999999999" customHeight="1" x14ac:dyDescent="0.3">
      <c r="A86" s="79" t="str">
        <f>_xlfn.IFNA(VLOOKUP(Tabela1[[#This Row],[NR DZIAŁANIA]],lista!$A$2:$E$111,2,FALSE),"")</f>
        <v>JSO8.1</v>
      </c>
      <c r="B86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6" s="49" t="s">
        <v>204</v>
      </c>
      <c r="D86" s="48" t="str">
        <f>_xlfn.IFNA(VLOOKUP(Tabela1[[#This Row],[NR DZIAŁANIA]],lista!$A$2:$E$111,4,FALSE),"")</f>
        <v>Rekultywacja terenów poprzemysłowych, zdewastowanych, zdegradowanych na cele środowiskowe</v>
      </c>
      <c r="E86" s="266" t="s">
        <v>209</v>
      </c>
      <c r="F86" s="60">
        <v>45535</v>
      </c>
      <c r="G86" s="60">
        <v>45688</v>
      </c>
      <c r="H86" s="48" t="s">
        <v>205</v>
      </c>
      <c r="I86" s="47" t="s">
        <v>210</v>
      </c>
      <c r="J86" s="69">
        <f>(5000000*4.45)+(1000000*4.45)+(2500000*4.45)</f>
        <v>37825000</v>
      </c>
      <c r="K86" s="54">
        <f>Tabela1[[#This Row],[KWOTA PRZEZNACZONA NA DOFINANSOWANIE PROJEKTÓW '[PLN']]]/4.45</f>
        <v>8500000</v>
      </c>
      <c r="L86" s="68" t="s">
        <v>20</v>
      </c>
      <c r="M86" s="47" t="s">
        <v>211</v>
      </c>
      <c r="N86" s="47" t="str">
        <f>_xlfn.IFNA(VLOOKUP(Tabela1[[#This Row],[NR DZIAŁANIA]],lista!$A$2:$E$111,5,FALSE),"")</f>
        <v>Departament Europejskiego Funduszu Rozwoju Regionalnego</v>
      </c>
      <c r="O86" s="220"/>
      <c r="P86" s="238">
        <f t="shared" si="3"/>
        <v>45535</v>
      </c>
    </row>
    <row r="87" spans="1:16" s="34" customFormat="1" ht="138.6" customHeight="1" x14ac:dyDescent="0.3">
      <c r="A87" s="79" t="str">
        <f>_xlfn.IFNA(VLOOKUP(Tabela1[[#This Row],[NR DZIAŁANIA]],lista!$A$2:$E$111,2,FALSE),"")</f>
        <v>JSO8.1</v>
      </c>
      <c r="B87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7" s="49" t="s">
        <v>204</v>
      </c>
      <c r="D87" s="48" t="str">
        <f>_xlfn.IFNA(VLOOKUP(Tabela1[[#This Row],[NR DZIAŁANIA]],lista!$A$2:$E$111,4,FALSE),"")</f>
        <v>Rekultywacja terenów poprzemysłowych, zdewastowanych, zdegradowanych na cele środowiskowe</v>
      </c>
      <c r="E87" s="68" t="s">
        <v>40</v>
      </c>
      <c r="F87" s="239">
        <v>45930</v>
      </c>
      <c r="G87" s="60">
        <v>46022</v>
      </c>
      <c r="H87" s="48" t="s">
        <v>205</v>
      </c>
      <c r="I87" s="47" t="s">
        <v>210</v>
      </c>
      <c r="J87" s="58">
        <f>K87*4.45</f>
        <v>4328820.5370000005</v>
      </c>
      <c r="K87" s="54">
        <v>972768.66</v>
      </c>
      <c r="L87" s="68" t="s">
        <v>20</v>
      </c>
      <c r="M87" s="57" t="s">
        <v>170</v>
      </c>
      <c r="N87" s="47" t="str">
        <f>_xlfn.IFNA(VLOOKUP(Tabela1[[#This Row],[NR DZIAŁANIA]],lista!$A$2:$E$111,5,FALSE),"")</f>
        <v>Departament Europejskiego Funduszu Rozwoju Regionalnego</v>
      </c>
      <c r="O87" s="220"/>
      <c r="P87" s="238">
        <f>F87</f>
        <v>45930</v>
      </c>
    </row>
    <row r="88" spans="1:16" s="34" customFormat="1" ht="129.6" customHeight="1" x14ac:dyDescent="0.3">
      <c r="A88" s="79" t="str">
        <f>_xlfn.IFNA(VLOOKUP(Tabela1[[#This Row],[NR DZIAŁANIA]],lista!$A$2:$E$111,2,FALSE),"")</f>
        <v>JSO8.1</v>
      </c>
      <c r="B88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8" s="49" t="s">
        <v>204</v>
      </c>
      <c r="D88" s="48" t="str">
        <f>_xlfn.IFNA(VLOOKUP(Tabela1[[#This Row],[NR DZIAŁANIA]],lista!$A$2:$E$111,4,FALSE),"")</f>
        <v>Rekultywacja terenów poprzemysłowych, zdewastowanych, zdegradowanych na cele środowiskowe</v>
      </c>
      <c r="E88" s="68" t="s">
        <v>35</v>
      </c>
      <c r="F88" s="239">
        <v>45961</v>
      </c>
      <c r="G88" s="60">
        <v>46022</v>
      </c>
      <c r="H88" s="48" t="s">
        <v>205</v>
      </c>
      <c r="I88" s="47" t="s">
        <v>210</v>
      </c>
      <c r="J88" s="58">
        <v>40000000</v>
      </c>
      <c r="K88" s="54">
        <f>Tabela1[[#This Row],[KWOTA PRZEZNACZONA NA DOFINANSOWANIE PROJEKTÓW '[PLN']]]/4.45</f>
        <v>8988764.0449438207</v>
      </c>
      <c r="L88" s="68" t="s">
        <v>20</v>
      </c>
      <c r="M88" s="57" t="s">
        <v>169</v>
      </c>
      <c r="N88" s="47" t="str">
        <f>_xlfn.IFNA(VLOOKUP(Tabela1[[#This Row],[NR DZIAŁANIA]],lista!$A$2:$E$111,5,FALSE),"")</f>
        <v>Departament Europejskiego Funduszu Rozwoju Regionalnego</v>
      </c>
      <c r="O88" s="220"/>
      <c r="P88" s="238">
        <f>F88</f>
        <v>45961</v>
      </c>
    </row>
    <row r="89" spans="1:16" s="34" customFormat="1" ht="137.4" customHeight="1" x14ac:dyDescent="0.3">
      <c r="A89" s="79" t="str">
        <f>_xlfn.IFNA(VLOOKUP(Tabela1[[#This Row],[NR DZIAŁANIA]],lista!$A$2:$E$111,2,FALSE),"")</f>
        <v>JSO8.1</v>
      </c>
      <c r="B89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89" s="49" t="s">
        <v>212</v>
      </c>
      <c r="D89" s="48" t="str">
        <f>_xlfn.IFNA(VLOOKUP(Tabela1[[#This Row],[NR DZIAŁANIA]],lista!$A$2:$E$111,4,FALSE),"")</f>
        <v>Poprawa  stosunków wodnych  na obszarze oddziaływania kopalń </v>
      </c>
      <c r="E89" s="68" t="s">
        <v>35</v>
      </c>
      <c r="F89" s="60">
        <v>45596</v>
      </c>
      <c r="G89" s="60">
        <v>45747</v>
      </c>
      <c r="H89" s="48" t="s">
        <v>213</v>
      </c>
      <c r="I89" s="47" t="s">
        <v>214</v>
      </c>
      <c r="J89" s="69">
        <f>10471500*4.45*70%</f>
        <v>32618722.499999996</v>
      </c>
      <c r="K89" s="54">
        <f>Tabela1[[#This Row],[KWOTA PRZEZNACZONA NA DOFINANSOWANIE PROJEKTÓW '[PLN']]]/4.45</f>
        <v>7330049.9999999991</v>
      </c>
      <c r="L89" s="68" t="s">
        <v>20</v>
      </c>
      <c r="M89" s="47" t="s">
        <v>207</v>
      </c>
      <c r="N89" s="47" t="str">
        <f>_xlfn.IFNA(VLOOKUP(Tabela1[[#This Row],[NR DZIAŁANIA]],lista!$A$2:$E$111,5,FALSE),"")</f>
        <v>Departament Europejskiego Funduszu Rozwoju Regionalnego</v>
      </c>
      <c r="O89" s="267"/>
      <c r="P89" s="238">
        <f t="shared" si="3"/>
        <v>45596</v>
      </c>
    </row>
    <row r="90" spans="1:16" s="34" customFormat="1" ht="155.4" customHeight="1" x14ac:dyDescent="0.3">
      <c r="A90" s="79" t="str">
        <f>_xlfn.IFNA(VLOOKUP(Tabela1[[#This Row],[NR DZIAŁANIA]],lista!$A$2:$E$111,2,FALSE),"")</f>
        <v>JSO8.1</v>
      </c>
      <c r="B90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0" s="49" t="s">
        <v>212</v>
      </c>
      <c r="D90" s="48" t="str">
        <f>_xlfn.IFNA(VLOOKUP(Tabela1[[#This Row],[NR DZIAŁANIA]],lista!$A$2:$E$111,4,FALSE),"")</f>
        <v>Poprawa  stosunków wodnych  na obszarze oddziaływania kopalń </v>
      </c>
      <c r="E90" s="68" t="s">
        <v>40</v>
      </c>
      <c r="F90" s="60">
        <v>45596</v>
      </c>
      <c r="G90" s="60">
        <v>45747</v>
      </c>
      <c r="H90" s="48" t="s">
        <v>213</v>
      </c>
      <c r="I90" s="47" t="s">
        <v>214</v>
      </c>
      <c r="J90" s="69">
        <f>1861500*4.45*70%</f>
        <v>5798572.5</v>
      </c>
      <c r="K90" s="54">
        <f>Tabela1[[#This Row],[KWOTA PRZEZNACZONA NA DOFINANSOWANIE PROJEKTÓW '[PLN']]]/4.45</f>
        <v>1303050</v>
      </c>
      <c r="L90" s="68" t="s">
        <v>20</v>
      </c>
      <c r="M90" s="47" t="s">
        <v>208</v>
      </c>
      <c r="N90" s="47" t="str">
        <f>_xlfn.IFNA(VLOOKUP(Tabela1[[#This Row],[NR DZIAŁANIA]],lista!$A$2:$E$111,5,FALSE),"")</f>
        <v>Departament Europejskiego Funduszu Rozwoju Regionalnego</v>
      </c>
      <c r="O90" s="213"/>
      <c r="P90" s="238">
        <f t="shared" si="3"/>
        <v>45596</v>
      </c>
    </row>
    <row r="91" spans="1:16" ht="112.5" customHeight="1" x14ac:dyDescent="0.3">
      <c r="A91" s="79" t="str">
        <f>_xlfn.IFNA(VLOOKUP(Tabela1[[#This Row],[NR DZIAŁANIA]],lista!$A$2:$E$111,2,FALSE),"")</f>
        <v>JSO8.1</v>
      </c>
      <c r="B91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1" s="49" t="s">
        <v>212</v>
      </c>
      <c r="D91" s="48" t="str">
        <f>_xlfn.IFNA(VLOOKUP(Tabela1[[#This Row],[NR DZIAŁANIA]],lista!$A$2:$E$111,4,FALSE),"")</f>
        <v>Poprawa  stosunków wodnych  na obszarze oddziaływania kopalń </v>
      </c>
      <c r="E91" s="68" t="s">
        <v>43</v>
      </c>
      <c r="F91" s="123" t="s">
        <v>151</v>
      </c>
      <c r="G91" s="123" t="s">
        <v>36</v>
      </c>
      <c r="H91" s="48" t="s">
        <v>213</v>
      </c>
      <c r="I91" s="47" t="s">
        <v>214</v>
      </c>
      <c r="J91" s="58">
        <v>39560500</v>
      </c>
      <c r="K91" s="54">
        <f>Tabela1[[#This Row],[KWOTA PRZEZNACZONA NA DOFINANSOWANIE PROJEKTÓW '[PLN']]]/4.45</f>
        <v>8890000</v>
      </c>
      <c r="L91" s="68" t="s">
        <v>20</v>
      </c>
      <c r="M91" s="47" t="s">
        <v>168</v>
      </c>
      <c r="N91" s="47" t="str">
        <f>_xlfn.IFNA(VLOOKUP(Tabela1[[#This Row],[NR DZIAŁANIA]],lista!$A$2:$E$111,5,FALSE),"")</f>
        <v>Departament Europejskiego Funduszu Rozwoju Regionalnego</v>
      </c>
      <c r="O91" s="213"/>
      <c r="P91" s="238">
        <v>45902</v>
      </c>
    </row>
    <row r="92" spans="1:16" ht="140.4" customHeight="1" x14ac:dyDescent="0.3">
      <c r="A92" s="79" t="str">
        <f>_xlfn.IFNA(VLOOKUP(Tabela1[[#This Row],[NR DZIAŁANIA]],lista!$A$2:$E$111,2,FALSE),"")</f>
        <v>JSO8.1</v>
      </c>
      <c r="B92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2" s="49" t="s">
        <v>215</v>
      </c>
      <c r="D92" s="48" t="str">
        <f>_xlfn.IFNA(VLOOKUP(Tabela1[[#This Row],[NR DZIAŁANIA]],lista!$A$2:$E$111,4,FALSE),"")</f>
        <v>Ponowne wykorzystanie terenów poprzemysłowych, zdewastowanych, zdegradowanych na cele rozwojowe regionu.</v>
      </c>
      <c r="E92" s="68" t="s">
        <v>40</v>
      </c>
      <c r="F92" s="60">
        <v>45504</v>
      </c>
      <c r="G92" s="60">
        <v>45747</v>
      </c>
      <c r="H92" s="52" t="s">
        <v>216</v>
      </c>
      <c r="I92" s="52" t="s">
        <v>217</v>
      </c>
      <c r="J92" s="53">
        <v>61420688.899999999</v>
      </c>
      <c r="K92" s="54">
        <f>Tabela1[[#This Row],[KWOTA PRZEZNACZONA NA DOFINANSOWANIE PROJEKTÓW '[PLN']]]/4.45</f>
        <v>13802402</v>
      </c>
      <c r="L92" s="73" t="s">
        <v>20</v>
      </c>
      <c r="M92" s="57" t="s">
        <v>208</v>
      </c>
      <c r="N92" s="47" t="str">
        <f>_xlfn.IFNA(VLOOKUP(Tabela1[[#This Row],[NR DZIAŁANIA]],lista!$A$2:$E$111,5,FALSE),"")</f>
        <v>Departament Europejskiego Funduszu Rozwoju Regionalnego</v>
      </c>
      <c r="O92" s="213"/>
      <c r="P92" s="238">
        <f t="shared" si="3"/>
        <v>45504</v>
      </c>
    </row>
    <row r="93" spans="1:16" s="42" customFormat="1" ht="147.6" customHeight="1" x14ac:dyDescent="0.3">
      <c r="A93" s="79" t="str">
        <f>_xlfn.IFNA(VLOOKUP(Tabela1[[#This Row],[NR DZIAŁANIA]],lista!$A$2:$E$111,2,FALSE),"")</f>
        <v>JSO8.1</v>
      </c>
      <c r="B93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3" s="49" t="s">
        <v>215</v>
      </c>
      <c r="D93" s="48" t="str">
        <f>_xlfn.IFNA(VLOOKUP(Tabela1[[#This Row],[NR DZIAŁANIA]],lista!$A$2:$E$111,4,FALSE),"")</f>
        <v>Ponowne wykorzystanie terenów poprzemysłowych, zdewastowanych, zdegradowanych na cele rozwojowe regionu.</v>
      </c>
      <c r="E93" s="68" t="s">
        <v>35</v>
      </c>
      <c r="F93" s="60">
        <v>45596</v>
      </c>
      <c r="G93" s="60">
        <v>45688</v>
      </c>
      <c r="H93" s="52" t="s">
        <v>216</v>
      </c>
      <c r="I93" s="52" t="s">
        <v>217</v>
      </c>
      <c r="J93" s="53">
        <v>240000000</v>
      </c>
      <c r="K93" s="54">
        <f>Tabela1[[#This Row],[KWOTA PRZEZNACZONA NA DOFINANSOWANIE PROJEKTÓW '[PLN']]]/4.45</f>
        <v>53932584.269662917</v>
      </c>
      <c r="L93" s="73" t="s">
        <v>20</v>
      </c>
      <c r="M93" s="57" t="s">
        <v>207</v>
      </c>
      <c r="N93" s="47" t="str">
        <f>_xlfn.IFNA(VLOOKUP(Tabela1[[#This Row],[NR DZIAŁANIA]],lista!$A$2:$E$111,5,FALSE),"")</f>
        <v>Departament Europejskiego Funduszu Rozwoju Regionalnego</v>
      </c>
      <c r="O93" s="213"/>
      <c r="P93" s="238">
        <f t="shared" si="3"/>
        <v>45596</v>
      </c>
    </row>
    <row r="94" spans="1:16" s="42" customFormat="1" ht="148.94999999999999" customHeight="1" x14ac:dyDescent="0.3">
      <c r="A94" s="79" t="str">
        <f>_xlfn.IFNA(VLOOKUP(Tabela1[[#This Row],[NR DZIAŁANIA]],lista!$A$2:$E$111,2,FALSE),"")</f>
        <v>JSO8.1</v>
      </c>
      <c r="B94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4" s="49" t="s">
        <v>215</v>
      </c>
      <c r="D94" s="48" t="str">
        <f>_xlfn.IFNA(VLOOKUP(Tabela1[[#This Row],[NR DZIAŁANIA]],lista!$A$2:$E$111,4,FALSE),"")</f>
        <v>Ponowne wykorzystanie terenów poprzemysłowych, zdewastowanych, zdegradowanych na cele rozwojowe regionu.</v>
      </c>
      <c r="E94" s="68" t="s">
        <v>35</v>
      </c>
      <c r="F94" s="60" t="s">
        <v>36</v>
      </c>
      <c r="G94" s="60" t="s">
        <v>37</v>
      </c>
      <c r="H94" s="52" t="s">
        <v>216</v>
      </c>
      <c r="I94" s="52" t="s">
        <v>217</v>
      </c>
      <c r="J94" s="53">
        <v>76000000</v>
      </c>
      <c r="K94" s="54">
        <f>Tabela1[[#This Row],[KWOTA PRZEZNACZONA NA DOFINANSOWANIE PROJEKTÓW '[PLN']]]/4.45</f>
        <v>17078651.685393259</v>
      </c>
      <c r="L94" s="73" t="s">
        <v>20</v>
      </c>
      <c r="M94" s="57" t="s">
        <v>207</v>
      </c>
      <c r="N94" s="47" t="str">
        <f>_xlfn.IFNA(VLOOKUP(Tabela1[[#This Row],[NR DZIAŁANIA]],lista!$A$2:$E$111,5,FALSE),"")</f>
        <v>Departament Europejskiego Funduszu Rozwoju Regionalnego</v>
      </c>
      <c r="O94" s="213"/>
      <c r="P94" s="238">
        <v>45962</v>
      </c>
    </row>
    <row r="95" spans="1:16" s="34" customFormat="1" ht="147.6" customHeight="1" x14ac:dyDescent="0.3">
      <c r="A95" s="79" t="str">
        <f>_xlfn.IFNA(VLOOKUP(Tabela1[[#This Row],[NR DZIAŁANIA]],lista!$A$2:$E$111,2,FALSE),"")</f>
        <v>JSO8.1</v>
      </c>
      <c r="B95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5" s="49" t="s">
        <v>215</v>
      </c>
      <c r="D95" s="48" t="str">
        <f>_xlfn.IFNA(VLOOKUP(Tabela1[[#This Row],[NR DZIAŁANIA]],lista!$A$2:$E$111,4,FALSE),"")</f>
        <v>Ponowne wykorzystanie terenów poprzemysłowych, zdewastowanych, zdegradowanych na cele rozwojowe regionu.</v>
      </c>
      <c r="E95" s="68" t="s">
        <v>43</v>
      </c>
      <c r="F95" s="60">
        <v>45807</v>
      </c>
      <c r="G95" s="60">
        <v>45897</v>
      </c>
      <c r="H95" s="52" t="s">
        <v>216</v>
      </c>
      <c r="I95" s="52" t="s">
        <v>217</v>
      </c>
      <c r="J95" s="53">
        <v>77000000</v>
      </c>
      <c r="K95" s="54">
        <f>Tabela1[[#This Row],[KWOTA PRZEZNACZONA NA DOFINANSOWANIE PROJEKTÓW '[PLN']]]/4.45</f>
        <v>17303370.786516853</v>
      </c>
      <c r="L95" s="73" t="s">
        <v>20</v>
      </c>
      <c r="M95" s="57" t="s">
        <v>168</v>
      </c>
      <c r="N95" s="47" t="str">
        <f>_xlfn.IFNA(VLOOKUP(Tabela1[[#This Row],[NR DZIAŁANIA]],lista!$A$2:$E$111,5,FALSE),"")</f>
        <v>Departament Europejskiego Funduszu Rozwoju Regionalnego</v>
      </c>
      <c r="O95" s="213"/>
      <c r="P95" s="238">
        <v>45658</v>
      </c>
    </row>
    <row r="96" spans="1:16" ht="140.4" customHeight="1" x14ac:dyDescent="0.3">
      <c r="A96" s="79" t="str">
        <f>_xlfn.IFNA(VLOOKUP(Tabela1[[#This Row],[NR DZIAŁANIA]],lista!$A$2:$E$111,2,FALSE),"")</f>
        <v>JSO8.1</v>
      </c>
      <c r="B96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6" s="49" t="s">
        <v>215</v>
      </c>
      <c r="D96" s="48" t="str">
        <f>_xlfn.IFNA(VLOOKUP(Tabela1[[#This Row],[NR DZIAŁANIA]],lista!$A$2:$E$111,4,FALSE),"")</f>
        <v>Ponowne wykorzystanie terenów poprzemysłowych, zdewastowanych, zdegradowanych na cele rozwojowe regionu.</v>
      </c>
      <c r="E96" s="68" t="s">
        <v>48</v>
      </c>
      <c r="F96" s="77" t="s">
        <v>151</v>
      </c>
      <c r="G96" s="77" t="s">
        <v>151</v>
      </c>
      <c r="H96" s="52" t="s">
        <v>216</v>
      </c>
      <c r="I96" s="52" t="s">
        <v>217</v>
      </c>
      <c r="J96" s="78">
        <v>22250000</v>
      </c>
      <c r="K96" s="54">
        <f>Tabela1[[#This Row],[KWOTA PRZEZNACZONA NA DOFINANSOWANIE PROJEKTÓW '[PLN']]]/4.45</f>
        <v>5000000</v>
      </c>
      <c r="L96" s="73" t="s">
        <v>20</v>
      </c>
      <c r="M96" s="51" t="s">
        <v>168</v>
      </c>
      <c r="N96" s="47" t="str">
        <f>_xlfn.IFNA(VLOOKUP(Tabela1[[#This Row],[NR DZIAŁANIA]],lista!$A$2:$E$111,5,FALSE),"")</f>
        <v>Departament Europejskiego Funduszu Rozwoju Regionalnego</v>
      </c>
      <c r="O96" s="221" t="s">
        <v>218</v>
      </c>
      <c r="P96" s="238">
        <v>45839</v>
      </c>
    </row>
    <row r="97" spans="1:16" s="34" customFormat="1" ht="126.75" customHeight="1" x14ac:dyDescent="0.3">
      <c r="A97" s="79" t="str">
        <f>_xlfn.IFNA(VLOOKUP(Tabela1[[#This Row],[NR DZIAŁANIA]],lista!$A$2:$E$111,2,FALSE),"")</f>
        <v>JSO8.1</v>
      </c>
      <c r="B97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7" s="49" t="s">
        <v>219</v>
      </c>
      <c r="D97" s="48" t="str">
        <f>_xlfn.IFNA(VLOOKUP(Tabela1[[#This Row],[NR DZIAŁANIA]],lista!$A$2:$E$111,4,FALSE),"")</f>
        <v>Poprawa mobilności mieszkańców regionu i spójności transportowej podregionów górniczych</v>
      </c>
      <c r="E97" s="68" t="s">
        <v>220</v>
      </c>
      <c r="F97" s="142">
        <v>45743</v>
      </c>
      <c r="G97" s="60">
        <v>45807</v>
      </c>
      <c r="H97" s="69" t="s">
        <v>221</v>
      </c>
      <c r="I97" s="69" t="s">
        <v>50</v>
      </c>
      <c r="J97" s="206">
        <v>74315000</v>
      </c>
      <c r="K97" s="54">
        <f>Tabela1[[#This Row],[KWOTA PRZEZNACZONA NA DOFINANSOWANIE PROJEKTÓW '[PLN']]]/4.45</f>
        <v>16700000</v>
      </c>
      <c r="L97" s="68" t="s">
        <v>222</v>
      </c>
      <c r="M97" s="48" t="s">
        <v>223</v>
      </c>
      <c r="N97" s="47" t="str">
        <f>_xlfn.IFNA(VLOOKUP(Tabela1[[#This Row],[NR DZIAŁANIA]],lista!$A$2:$E$111,5,FALSE),"")</f>
        <v>Departament Europejskiego Funduszu Rozwoju Regionalnego</v>
      </c>
      <c r="O97" s="213"/>
      <c r="P97" s="238">
        <f t="shared" si="3"/>
        <v>45743</v>
      </c>
    </row>
    <row r="98" spans="1:16" s="42" customFormat="1" ht="139.19999999999999" customHeight="1" x14ac:dyDescent="0.3">
      <c r="A98" s="79" t="str">
        <f>_xlfn.IFNA(VLOOKUP(Tabela1[[#This Row],[NR DZIAŁANIA]],lista!$A$2:$E$111,2,FALSE),"")</f>
        <v>JSO8.1</v>
      </c>
      <c r="B98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98" s="49" t="s">
        <v>224</v>
      </c>
      <c r="D98" s="48" t="str">
        <f>_xlfn.IFNA(VLOOKUP(Tabela1[[#This Row],[NR DZIAŁANIA]],lista!$A$2:$E$111,4,FALSE),"")</f>
        <v>Infrastruktura szkolnictwa wyższego na potrzeby transformacji</v>
      </c>
      <c r="E98" s="68" t="s">
        <v>225</v>
      </c>
      <c r="F98" s="70">
        <v>45169</v>
      </c>
      <c r="G98" s="203">
        <v>45656</v>
      </c>
      <c r="H98" s="51" t="s">
        <v>226</v>
      </c>
      <c r="I98" s="47" t="s">
        <v>153</v>
      </c>
      <c r="J98" s="58">
        <v>21999999</v>
      </c>
      <c r="K98" s="54">
        <f>Tabela1[[#This Row],[KWOTA PRZEZNACZONA NA DOFINANSOWANIE PROJEKTÓW '[PLN']]]/4.45</f>
        <v>4943820</v>
      </c>
      <c r="L98" s="76" t="s">
        <v>69</v>
      </c>
      <c r="M98" s="57" t="s">
        <v>154</v>
      </c>
      <c r="N98" s="47" t="str">
        <f>_xlfn.IFNA(VLOOKUP(Tabela1[[#This Row],[NR DZIAŁANIA]],lista!$A$2:$E$111,5,FALSE),"")</f>
        <v>Departament Europejskiego Funduszu Rozwoju Regionalnego</v>
      </c>
      <c r="O98" s="215"/>
      <c r="P98" s="238">
        <f t="shared" si="3"/>
        <v>45169</v>
      </c>
    </row>
    <row r="99" spans="1:16" s="42" customFormat="1" ht="144.6" customHeight="1" x14ac:dyDescent="0.3">
      <c r="A99" s="79" t="str">
        <f>_xlfn.IFNA(VLOOKUP(Tabela1[[#This Row],[NR DZIAŁANIA]],lista!$A$2:$E$111,2,FALSE),"")</f>
        <v>JSO8.1</v>
      </c>
      <c r="B99" s="48" t="s">
        <v>201</v>
      </c>
      <c r="C99" s="49" t="s">
        <v>224</v>
      </c>
      <c r="D99" s="48" t="str">
        <f>_xlfn.IFNA(VLOOKUP(Tabela1[[#This Row],[NR DZIAŁANIA]],lista!$A$2:$E$111,4,FALSE),"")</f>
        <v>Infrastruktura szkolnictwa wyższego na potrzeby transformacji</v>
      </c>
      <c r="E99" s="68" t="s">
        <v>227</v>
      </c>
      <c r="F99" s="70" t="s">
        <v>150</v>
      </c>
      <c r="G99" s="70" t="s">
        <v>151</v>
      </c>
      <c r="H99" s="51" t="s">
        <v>226</v>
      </c>
      <c r="I99" s="47" t="s">
        <v>153</v>
      </c>
      <c r="J99" s="58">
        <v>51175000</v>
      </c>
      <c r="K99" s="54">
        <f>Tabela1[[#This Row],[KWOTA PRZEZNACZONA NA DOFINANSOWANIE PROJEKTÓW '[PLN']]]/4.45</f>
        <v>11500000</v>
      </c>
      <c r="L99" s="76" t="s">
        <v>222</v>
      </c>
      <c r="M99" s="57" t="s">
        <v>154</v>
      </c>
      <c r="N99" s="47" t="str">
        <f>_xlfn.IFNA(VLOOKUP(Tabela1[[#This Row],[NR DZIAŁANIA]],lista!$A$2:$E$111,5,FALSE),"")</f>
        <v>Departament Europejskiego Funduszu Rozwoju Regionalnego</v>
      </c>
      <c r="O99" s="215"/>
      <c r="P99" s="238">
        <v>45748</v>
      </c>
    </row>
    <row r="100" spans="1:16" s="42" customFormat="1" ht="152.4" customHeight="1" x14ac:dyDescent="0.3">
      <c r="A100" s="79" t="str">
        <f>_xlfn.IFNA(VLOOKUP(Tabela1[[#This Row],[NR DZIAŁANIA]],lista!$A$2:$E$111,2,FALSE),"")</f>
        <v>JSO8.1</v>
      </c>
      <c r="B100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0" s="49" t="s">
        <v>228</v>
      </c>
      <c r="D100" s="48" t="str">
        <f>_xlfn.IFNA(VLOOKUP(Tabela1[[#This Row],[NR DZIAŁANIA]],lista!$A$2:$E$111,4,FALSE),"")</f>
        <v>Infrastruktura kształcenia zawodowego</v>
      </c>
      <c r="E100" s="68"/>
      <c r="F100" s="70">
        <v>45715</v>
      </c>
      <c r="G100" s="70">
        <v>45834</v>
      </c>
      <c r="H100" s="250" t="s">
        <v>229</v>
      </c>
      <c r="I100" s="47" t="s">
        <v>230</v>
      </c>
      <c r="J100" s="58">
        <v>206509205.34999999</v>
      </c>
      <c r="K100" s="54">
        <f>Tabela1[[#This Row],[KWOTA PRZEZNACZONA NA DOFINANSOWANIE PROJEKTÓW '[PLN']]]/4.45</f>
        <v>46406563</v>
      </c>
      <c r="L100" s="76" t="s">
        <v>20</v>
      </c>
      <c r="M100" s="125" t="s">
        <v>21</v>
      </c>
      <c r="N100" s="47" t="str">
        <f>_xlfn.IFNA(VLOOKUP(Tabela1[[#This Row],[NR DZIAŁANIA]],lista!$A$2:$E$111,5,FALSE),"")</f>
        <v>Departament Europejskiego Funduszu Rozwoju Regionalnego</v>
      </c>
      <c r="O100" s="213" t="s">
        <v>231</v>
      </c>
      <c r="P100" s="238">
        <f>F100</f>
        <v>45715</v>
      </c>
    </row>
    <row r="101" spans="1:16" s="42" customFormat="1" ht="156" customHeight="1" x14ac:dyDescent="0.3">
      <c r="A101" s="79" t="str">
        <f>_xlfn.IFNA(VLOOKUP(Tabela1[[#This Row],[NR DZIAŁANIA]],lista!$A$2:$E$111,2,FALSE),"")</f>
        <v>JSO8.1</v>
      </c>
      <c r="B101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1" s="49" t="s">
        <v>228</v>
      </c>
      <c r="D101" s="48" t="str">
        <f>_xlfn.IFNA(VLOOKUP(Tabela1[[#This Row],[NR DZIAŁANIA]],lista!$A$2:$E$111,4,FALSE),"")</f>
        <v>Infrastruktura kształcenia zawodowego</v>
      </c>
      <c r="E101" s="68" t="s">
        <v>35</v>
      </c>
      <c r="F101" s="70" t="s">
        <v>151</v>
      </c>
      <c r="G101" s="70" t="s">
        <v>36</v>
      </c>
      <c r="H101" s="250" t="s">
        <v>229</v>
      </c>
      <c r="I101" s="47" t="s">
        <v>230</v>
      </c>
      <c r="J101" s="58">
        <v>40050000</v>
      </c>
      <c r="K101" s="54">
        <f>Tabela1[[#This Row],[KWOTA PRZEZNACZONA NA DOFINANSOWANIE PROJEKTÓW '[PLN']]]/4.45</f>
        <v>9000000</v>
      </c>
      <c r="L101" s="76" t="s">
        <v>20</v>
      </c>
      <c r="M101" s="57" t="s">
        <v>207</v>
      </c>
      <c r="N101" s="47" t="str">
        <f>_xlfn.IFNA(VLOOKUP(Tabela1[[#This Row],[NR DZIAŁANIA]],lista!$A$2:$E$111,5,FALSE),"")</f>
        <v>Departament Europejskiego Funduszu Rozwoju Regionalnego</v>
      </c>
      <c r="O101" s="47" t="s">
        <v>232</v>
      </c>
      <c r="P101" s="238">
        <v>45902</v>
      </c>
    </row>
    <row r="102" spans="1:16" s="42" customFormat="1" ht="141" customHeight="1" x14ac:dyDescent="0.3">
      <c r="A102" s="79" t="str">
        <f>_xlfn.IFNA(VLOOKUP(Tabela1[[#This Row],[NR DZIAŁANIA]],lista!$A$2:$E$111,2,FALSE),"")</f>
        <v>JSO8.1</v>
      </c>
      <c r="B102" s="48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2" s="49" t="s">
        <v>228</v>
      </c>
      <c r="D102" s="48" t="str">
        <f>_xlfn.IFNA(VLOOKUP(Tabela1[[#This Row],[NR DZIAŁANIA]],lista!$A$2:$E$111,4,FALSE),"")</f>
        <v>Infrastruktura kształcenia zawodowego</v>
      </c>
      <c r="E102" s="68" t="s">
        <v>40</v>
      </c>
      <c r="F102" s="60">
        <v>45869</v>
      </c>
      <c r="G102" s="70">
        <v>45930</v>
      </c>
      <c r="H102" s="250" t="s">
        <v>229</v>
      </c>
      <c r="I102" s="47" t="s">
        <v>230</v>
      </c>
      <c r="J102" s="58">
        <v>3093254.45</v>
      </c>
      <c r="K102" s="54">
        <f>Tabela1[[#This Row],[KWOTA PRZEZNACZONA NA DOFINANSOWANIE PROJEKTÓW '[PLN']]]/4.45</f>
        <v>695113.35955056176</v>
      </c>
      <c r="L102" s="76" t="s">
        <v>20</v>
      </c>
      <c r="M102" s="57" t="s">
        <v>208</v>
      </c>
      <c r="N102" s="47" t="str">
        <f>_xlfn.IFNA(VLOOKUP(Tabela1[[#This Row],[NR DZIAŁANIA]],lista!$A$2:$E$111,5,FALSE),"")</f>
        <v>Departament Europejskiego Funduszu Rozwoju Regionalnego</v>
      </c>
      <c r="O102" s="47" t="s">
        <v>232</v>
      </c>
      <c r="P102" s="238">
        <f>F102</f>
        <v>45869</v>
      </c>
    </row>
    <row r="103" spans="1:16" s="42" customFormat="1" ht="120" x14ac:dyDescent="0.3">
      <c r="A103" s="126" t="str">
        <f>_xlfn.IFNA(VLOOKUP(Tabela1[[#This Row],[NR DZIAŁANIA]],lista!$A$2:$E$111,2,FALSE),"")</f>
        <v>JSO8.1</v>
      </c>
      <c r="B103" s="127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3" s="128" t="s">
        <v>233</v>
      </c>
      <c r="D103" s="127" t="str">
        <f>_xlfn.IFNA(VLOOKUP(Tabela1[[#This Row],[NR DZIAŁANIA]],lista!$A$2:$E$111,4,FALSE),"")</f>
        <v xml:space="preserve">Redeployment </v>
      </c>
      <c r="E103" s="129"/>
      <c r="F103" s="70">
        <v>45639</v>
      </c>
      <c r="G103" s="70">
        <v>45687</v>
      </c>
      <c r="H103" s="130" t="s">
        <v>234</v>
      </c>
      <c r="I103" s="127" t="s">
        <v>103</v>
      </c>
      <c r="J103" s="143">
        <v>142400000</v>
      </c>
      <c r="K103" s="144">
        <f>Tabela1[[#This Row],[KWOTA PRZEZNACZONA NA DOFINANSOWANIE PROJEKTÓW '[PLN']]]/4.45</f>
        <v>32000000</v>
      </c>
      <c r="L103" s="227" t="s">
        <v>20</v>
      </c>
      <c r="M103" s="130" t="s">
        <v>199</v>
      </c>
      <c r="N103" s="130" t="str">
        <f>_xlfn.IFNA(VLOOKUP(Tabela1[[#This Row],[NR DZIAŁANIA]],lista!$A$2:$E$111,5,FALSE),"")</f>
        <v>Wojewódzki Urząd Pracy</v>
      </c>
      <c r="O103" s="215"/>
      <c r="P103" s="238">
        <f t="shared" si="3"/>
        <v>45639</v>
      </c>
    </row>
    <row r="104" spans="1:16" s="42" customFormat="1" ht="138.6" customHeight="1" x14ac:dyDescent="0.3">
      <c r="A104" s="82" t="str">
        <f>_xlfn.IFNA(VLOOKUP(Tabela1[[#This Row],[NR DZIAŁANIA]],lista!$A$2:$E$111,2,FALSE),"")</f>
        <v>JSO8.1</v>
      </c>
      <c r="B104" s="83" t="str">
        <f>_xlfn.IFNA(VLOOKUP(Tabela1[[#This Row],[NR DZIAŁANIA]],lista!$A$2:$E$111,3,FALSE),"")</f>
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v>
      </c>
      <c r="C104" s="84" t="s">
        <v>235</v>
      </c>
      <c r="D104" s="83" t="str">
        <f>_xlfn.IFNA(VLOOKUP(Tabela1[[#This Row],[NR DZIAŁANIA]],lista!$A$2:$E$111,4,FALSE),"")</f>
        <v>Wsparcie pracowników zaangażowanych w proces transformacji</v>
      </c>
      <c r="E104" s="85"/>
      <c r="F104" s="70">
        <v>45777</v>
      </c>
      <c r="G104" s="70">
        <v>45442</v>
      </c>
      <c r="H104" s="86" t="s">
        <v>236</v>
      </c>
      <c r="I104" s="83" t="s">
        <v>103</v>
      </c>
      <c r="J104" s="87">
        <v>17800000</v>
      </c>
      <c r="K104" s="88">
        <f>Tabela1[[#This Row],[KWOTA PRZEZNACZONA NA DOFINANSOWANIE PROJEKTÓW '[PLN']]]/4.45</f>
        <v>4000000</v>
      </c>
      <c r="L104" s="89" t="s">
        <v>20</v>
      </c>
      <c r="M104" s="86" t="s">
        <v>199</v>
      </c>
      <c r="N104" s="86" t="str">
        <f>_xlfn.IFNA(VLOOKUP(Tabela1[[#This Row],[NR DZIAŁANIA]],lista!$A$2:$E$111,5,FALSE),"")</f>
        <v>Wojewódzki Urząd Pracy</v>
      </c>
      <c r="O104" s="253"/>
      <c r="P104" s="238">
        <f t="shared" si="3"/>
        <v>45777</v>
      </c>
    </row>
    <row r="105" spans="1:16" s="23" customFormat="1" ht="30" customHeight="1" x14ac:dyDescent="0.3">
      <c r="A105" s="101" t="s">
        <v>237</v>
      </c>
      <c r="B105" s="102"/>
      <c r="C105" s="103"/>
      <c r="D105" s="104"/>
      <c r="E105" s="105"/>
      <c r="F105" s="106"/>
      <c r="G105" s="107"/>
      <c r="H105" s="108"/>
      <c r="I105" s="108"/>
      <c r="J105" s="109"/>
      <c r="K105" s="110"/>
      <c r="L105" s="111"/>
      <c r="M105" s="108"/>
      <c r="N105" s="108"/>
      <c r="O105" s="222"/>
      <c r="P105" s="238"/>
    </row>
    <row r="106" spans="1:16" s="23" customFormat="1" ht="33" customHeight="1" x14ac:dyDescent="0.3">
      <c r="A106" s="112" t="s">
        <v>238</v>
      </c>
      <c r="B106" s="113"/>
      <c r="C106" s="114"/>
      <c r="D106" s="115"/>
      <c r="E106" s="116"/>
      <c r="F106" s="117"/>
      <c r="G106" s="118"/>
      <c r="H106" s="119"/>
      <c r="I106" s="119"/>
      <c r="J106" s="120"/>
      <c r="K106" s="121"/>
      <c r="L106" s="122"/>
      <c r="M106" s="119"/>
      <c r="N106" s="119"/>
      <c r="O106" s="223"/>
      <c r="P106" s="238"/>
    </row>
    <row r="107" spans="1:16" s="23" customFormat="1" ht="36.75" customHeight="1" thickBot="1" x14ac:dyDescent="0.35">
      <c r="A107" s="90" t="s">
        <v>239</v>
      </c>
      <c r="B107" s="91"/>
      <c r="C107" s="92"/>
      <c r="D107" s="93"/>
      <c r="E107" s="94"/>
      <c r="F107" s="95"/>
      <c r="G107" s="96"/>
      <c r="H107" s="97"/>
      <c r="I107" s="97"/>
      <c r="J107" s="98"/>
      <c r="K107" s="99"/>
      <c r="L107" s="100"/>
      <c r="M107" s="97"/>
      <c r="N107" s="97"/>
      <c r="O107" s="224"/>
      <c r="P107" s="238"/>
    </row>
  </sheetData>
  <phoneticPr fontId="21" type="noConversion"/>
  <dataValidations disablePrompts="1" count="4">
    <dataValidation type="list" allowBlank="1" showInputMessage="1" showErrorMessage="1" sqref="C75 C2 C105:C107 C29 C67 C4 C54 C37:C38 C46 C62" xr:uid="{00000000-0002-0000-0000-000000000000}">
      <formula1>#REF!</formula1>
    </dataValidation>
    <dataValidation type="decimal" operator="greaterThan" allowBlank="1" showInputMessage="1" showErrorMessage="1" sqref="J37:J38 J79 J1:K3 J108:K1048576 J42:J55 J19 J84:K95 J4:J5 J103:J107 J98:J99 K4:K22 K57:K83 K24:K55 J24:J29 J58:J76 K96:K107" xr:uid="{00000000-0002-0000-0000-000001000000}">
      <formula1>0</formula1>
    </dataValidation>
    <dataValidation type="date" operator="greaterThan" allowBlank="1" showInputMessage="1" showErrorMessage="1" sqref="G54 G46 G27 G37:G38 G67 G1:G2 G29 G75 G98 G62 G92 G15 G12 G89:G90 G19 G4:G7 G105:G1048576 G25 G80:G87" xr:uid="{00000000-0002-0000-0000-000002000000}">
      <formula1>TODAY()</formula1>
    </dataValidation>
    <dataValidation allowBlank="1" showInputMessage="1" showErrorMessage="1" sqref="F16:G18 F24:G24 G8:G11 G99:G102 G26 G63:G66 G13:G14 F6:F15 F29 F28:G28 F88:G88 F89:F90 F91:G96 F75 F73:G74 F1:F2 F4 F56:G56 G42:G44 G47:G50 F98:F102 F104:F1048576 F37:F54 G97 F25:F27 F19:F22 G20:G22 F31 F33 G68:G71 F80:F87 F60:F72 G60:G61" xr:uid="{00000000-0002-0000-0000-000003000000}"/>
  </dataValidations>
  <pageMargins left="0.55118110236220474" right="0.27559055118110237" top="0.74803149606299213" bottom="0.74803149606299213" header="0.31496062992125984" footer="0.31496062992125984"/>
  <pageSetup paperSize="8" scale="41" fitToHeight="10" orientation="landscape" r:id="rId1"/>
  <headerFooter>
    <oddHeader>&amp;L&amp;16 Harmonogram naborów wniosków FE SL 21-27&amp;R&amp;14Załącznik nr 1 do Uchwały nr 2010/49/VII/2024 Zarządu Województwa Śląskiego z dnia 18 grudnia 2024 r.</oddHeader>
    <oddFooter>&amp;C&amp;G</oddFooter>
  </headerFooter>
  <rowBreaks count="3" manualBreakCount="3">
    <brk id="36" max="14" man="1"/>
    <brk id="61" max="14" man="1"/>
    <brk id="104" max="14" man="1"/>
  </rowBreaks>
  <ignoredErrors>
    <ignoredError sqref="A107:D107 A2 L107:O107 H107:I107 K38 F4:O4 A29 A38 A46 A62 A54 F67:O67 A75 A37 K37 A67:D67 A4:D4" calculatedColumn="1"/>
  </ignoredErrors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4000000}">
          <x14:formula1>
            <xm:f>lista!$A$2:$A$111</xm:f>
          </x14:formula1>
          <xm:sqref>C3 C63:C66 C30:C36 C39:C45 C47:C53 C55:C61 C76:C104 C5:C28 C68:C74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opLeftCell="A15" zoomScaleNormal="100" workbookViewId="0">
      <selection activeCell="C34" sqref="C34"/>
    </sheetView>
  </sheetViews>
  <sheetFormatPr defaultRowHeight="14.4" x14ac:dyDescent="0.3"/>
  <cols>
    <col min="1" max="1" width="10.88671875" bestFit="1" customWidth="1"/>
    <col min="2" max="2" width="58.6640625" bestFit="1" customWidth="1"/>
    <col min="3" max="3" width="14.44140625" bestFit="1" customWidth="1"/>
    <col min="4" max="4" width="24.6640625" customWidth="1"/>
    <col min="5" max="5" width="22.5546875" customWidth="1"/>
    <col min="6" max="6" width="20.33203125" customWidth="1"/>
    <col min="7" max="7" width="18" bestFit="1" customWidth="1"/>
  </cols>
  <sheetData>
    <row r="1" spans="1:5" ht="15.6" x14ac:dyDescent="0.3">
      <c r="A1" s="36" t="s">
        <v>240</v>
      </c>
      <c r="B1" s="37"/>
      <c r="C1" s="23"/>
      <c r="D1" s="23"/>
      <c r="E1" s="23"/>
    </row>
    <row r="2" spans="1:5" x14ac:dyDescent="0.3">
      <c r="A2" s="29"/>
      <c r="B2" s="23"/>
      <c r="C2" s="23"/>
      <c r="D2" s="23"/>
      <c r="E2" s="23"/>
    </row>
    <row r="3" spans="1:5" x14ac:dyDescent="0.3">
      <c r="A3" s="300" t="s">
        <v>241</v>
      </c>
      <c r="B3" s="300"/>
      <c r="C3" s="27" t="s">
        <v>242</v>
      </c>
      <c r="D3" s="27" t="s">
        <v>243</v>
      </c>
      <c r="E3" s="27" t="s">
        <v>244</v>
      </c>
    </row>
    <row r="4" spans="1:5" x14ac:dyDescent="0.3">
      <c r="A4" s="28" t="s">
        <v>245</v>
      </c>
      <c r="B4" s="30" t="s">
        <v>246</v>
      </c>
      <c r="C4" s="207">
        <f>COUNTIF('Harmonogram naborów wniosków'!C:C,"01.*")</f>
        <v>1</v>
      </c>
      <c r="D4" s="31">
        <f>SUMIFS('Harmonogram naborów wniosków'!K:K,'Harmonogram naborów wniosków'!C:C,"01.*")-SUMIFS('Harmonogram naborów wniosków'!K:K,'Harmonogram naborów wniosków'!C:C,"01.09*")</f>
        <v>20900000</v>
      </c>
      <c r="E4" s="32">
        <f>SUMIFS('Harmonogram naborów wniosków'!J:J,'Harmonogram naborów wniosków'!C:C,"01.*")-SUMIFS('Harmonogram naborów wniosków'!J:J,'Harmonogram naborów wniosków'!C:C,"01.09*")</f>
        <v>93005000</v>
      </c>
    </row>
    <row r="5" spans="1:5" x14ac:dyDescent="0.3">
      <c r="A5" s="28" t="s">
        <v>247</v>
      </c>
      <c r="B5" s="30" t="s">
        <v>248</v>
      </c>
      <c r="C5" s="30">
        <f>COUNTIF('Harmonogram naborów wniosków'!C:C,"02.*")</f>
        <v>24</v>
      </c>
      <c r="D5" s="31">
        <f>SUMIFS('Harmonogram naborów wniosków'!K:K,'Harmonogram naborów wniosków'!C:C,"02.*")</f>
        <v>151709670.48539329</v>
      </c>
      <c r="E5" s="32">
        <f>SUMIFS('Harmonogram naborów wniosków'!J:J,'Harmonogram naborów wniosków'!C:C,"02.*")</f>
        <v>675108033.65999997</v>
      </c>
    </row>
    <row r="6" spans="1:5" x14ac:dyDescent="0.3">
      <c r="A6" s="28" t="s">
        <v>249</v>
      </c>
      <c r="B6" s="30" t="s">
        <v>250</v>
      </c>
      <c r="C6" s="30">
        <f>COUNTIF('Harmonogram naborów wniosków'!C:C,"03.*")</f>
        <v>7</v>
      </c>
      <c r="D6" s="31">
        <f>SUMIFS('Harmonogram naborów wniosków'!K:K,'Harmonogram naborów wniosków'!C:C,"03.*")</f>
        <v>73012003.044943824</v>
      </c>
      <c r="E6" s="32">
        <f>SUMIFS('Harmonogram naborów wniosków'!J:J,'Harmonogram naborów wniosków'!C:C,"03.*")</f>
        <v>324903413.55000001</v>
      </c>
    </row>
    <row r="7" spans="1:5" x14ac:dyDescent="0.3">
      <c r="A7" s="28" t="s">
        <v>251</v>
      </c>
      <c r="B7" s="30" t="s">
        <v>252</v>
      </c>
      <c r="C7" s="30">
        <f>COUNTIF('Harmonogram naborów wniosków'!C:C,"04.*")</f>
        <v>0</v>
      </c>
      <c r="D7" s="31">
        <f>SUMIFS('Harmonogram naborów wniosków'!K:K,'Harmonogram naborów wniosków'!C:C,"04.*")</f>
        <v>0</v>
      </c>
      <c r="E7" s="32">
        <f>SUMIFS('Harmonogram naborów wniosków'!J:J,'Harmonogram naborów wniosków'!C:C,"04.*")</f>
        <v>0</v>
      </c>
    </row>
    <row r="8" spans="1:5" x14ac:dyDescent="0.3">
      <c r="A8" s="28" t="s">
        <v>253</v>
      </c>
      <c r="B8" s="30" t="s">
        <v>254</v>
      </c>
      <c r="C8" s="30">
        <f>COUNTIF('Harmonogram naborów wniosków'!C:C,"05.*")</f>
        <v>7</v>
      </c>
      <c r="D8" s="31">
        <f>SUMIFS('Harmonogram naborów wniosków'!K:K,'Harmonogram naborów wniosków'!C:C,"05.*")</f>
        <v>24723192.820224717</v>
      </c>
      <c r="E8" s="32">
        <f>SUMIFS('Harmonogram naborów wniosków'!J:J,'Harmonogram naborów wniosków'!C:C,"05.*")</f>
        <v>110018208.05</v>
      </c>
    </row>
    <row r="9" spans="1:5" x14ac:dyDescent="0.3">
      <c r="A9" s="28" t="s">
        <v>255</v>
      </c>
      <c r="B9" s="30" t="s">
        <v>256</v>
      </c>
      <c r="C9" s="30">
        <f>COUNTIF('Harmonogram naborów wniosków'!C:C,"06.*")</f>
        <v>7</v>
      </c>
      <c r="D9" s="31">
        <f>SUMIFS('Harmonogram naborów wniosków'!K:K,'Harmonogram naborów wniosków'!C:C,"06.*")</f>
        <v>22261352.449438199</v>
      </c>
      <c r="E9" s="32">
        <f>SUMIFS('Harmonogram naborów wniosków'!J:J,'Harmonogram naborów wniosków'!C:C,"06.*")</f>
        <v>99063018.400000006</v>
      </c>
    </row>
    <row r="10" spans="1:5" x14ac:dyDescent="0.3">
      <c r="A10" s="28" t="s">
        <v>257</v>
      </c>
      <c r="B10" s="30" t="s">
        <v>258</v>
      </c>
      <c r="C10" s="30">
        <f>COUNTIF('Harmonogram naborów wniosków'!C:C,"07.*")</f>
        <v>7</v>
      </c>
      <c r="D10" s="31">
        <f>SUMIFS('Harmonogram naborów wniosków'!K:K,'Harmonogram naborów wniosków'!C:C,"07.*")</f>
        <v>35560179</v>
      </c>
      <c r="E10" s="32">
        <f>SUMIFS('Harmonogram naborów wniosków'!J:J,'Harmonogram naborów wniosków'!C:C,"07.*")</f>
        <v>158242796.55000001</v>
      </c>
    </row>
    <row r="11" spans="1:5" x14ac:dyDescent="0.3">
      <c r="A11" s="28" t="s">
        <v>259</v>
      </c>
      <c r="B11" s="30" t="s">
        <v>260</v>
      </c>
      <c r="C11" s="30">
        <f>COUNTIF('Harmonogram naborów wniosków'!C:C,"08.*")</f>
        <v>4</v>
      </c>
      <c r="D11" s="31">
        <f>SUMIFS('Harmonogram naborów wniosków'!K:K,'Harmonogram naborów wniosków'!C:C,"08.*")</f>
        <v>60227159.943820223</v>
      </c>
      <c r="E11" s="32">
        <f>SUMIFS('Harmonogram naborów wniosków'!J:J,'Harmonogram naborów wniosków'!C:C,"08.*")</f>
        <v>268010861.75</v>
      </c>
    </row>
    <row r="12" spans="1:5" x14ac:dyDescent="0.3">
      <c r="A12" s="28" t="s">
        <v>261</v>
      </c>
      <c r="B12" s="30" t="s">
        <v>262</v>
      </c>
      <c r="C12" s="30">
        <f>COUNTIF('Harmonogram naborów wniosków'!C:C,"09.*")</f>
        <v>7</v>
      </c>
      <c r="D12" s="31">
        <f>SUMIFS('Harmonogram naborów wniosków'!K:K,'Harmonogram naborów wniosków'!C:C,"09.*")</f>
        <v>144903987.86516854</v>
      </c>
      <c r="E12" s="32">
        <f>SUMIFS('Harmonogram naborów wniosków'!J:J,'Harmonogram naborów wniosków'!C:C,"09.*")</f>
        <v>644822746</v>
      </c>
    </row>
    <row r="13" spans="1:5" x14ac:dyDescent="0.3">
      <c r="A13" s="28" t="s">
        <v>263</v>
      </c>
      <c r="B13" s="30" t="s">
        <v>264</v>
      </c>
      <c r="C13" s="30">
        <f>COUNTIF('Harmonogram naborów wniosków'!C:C,"10.*")</f>
        <v>29</v>
      </c>
      <c r="D13" s="31">
        <f>SUMIFS('Harmonogram naborów wniosków'!K:K,'Harmonogram naborów wniosków'!C:C,"10.*")</f>
        <v>474950340.06449431</v>
      </c>
      <c r="E13" s="32">
        <f>SUMIFS('Harmonogram naborów wniosków'!J:J,'Harmonogram naborów wniosków'!C:C,"10.*")</f>
        <v>2113529013.2869999</v>
      </c>
    </row>
    <row r="14" spans="1:5" x14ac:dyDescent="0.3">
      <c r="A14" s="28" t="s">
        <v>265</v>
      </c>
      <c r="B14" s="30" t="s">
        <v>266</v>
      </c>
      <c r="C14" s="30">
        <f>COUNTIF('Harmonogram naborów wniosków'!C:C,"11.*")</f>
        <v>0</v>
      </c>
      <c r="D14" s="31">
        <f>SUMIFS('Harmonogram naborów wniosków'!K:K,'Harmonogram naborów wniosków'!C:C,"11.*")</f>
        <v>0</v>
      </c>
      <c r="E14" s="32">
        <f>SUMIFS('Harmonogram naborów wniosków'!J:J,'Harmonogram naborów wniosków'!C:C,"11.*")</f>
        <v>0</v>
      </c>
    </row>
    <row r="15" spans="1:5" x14ac:dyDescent="0.3">
      <c r="A15" s="28" t="s">
        <v>267</v>
      </c>
      <c r="B15" s="30" t="s">
        <v>268</v>
      </c>
      <c r="C15" s="30">
        <f>COUNTIF('Harmonogram naborów wniosków'!C:C,"12.*")</f>
        <v>0</v>
      </c>
      <c r="D15" s="31">
        <f>SUMIFS('Harmonogram naborów wniosków'!K:K,'Harmonogram naborów wniosków'!C:C,"12.*")</f>
        <v>0</v>
      </c>
      <c r="E15" s="32">
        <f>SUMIFS('Harmonogram naborów wniosków'!J:J,'Harmonogram naborów wniosków'!C:C,"12.*")</f>
        <v>0</v>
      </c>
    </row>
    <row r="16" spans="1:5" x14ac:dyDescent="0.3">
      <c r="A16" s="28" t="s">
        <v>269</v>
      </c>
      <c r="B16" s="30" t="s">
        <v>270</v>
      </c>
      <c r="C16" s="30">
        <f>COUNTIF('Harmonogram naborów wniosków'!C:C,"13.*")</f>
        <v>0</v>
      </c>
      <c r="D16" s="31">
        <f>SUMIFS('Harmonogram naborów wniosków'!K:K,'Harmonogram naborów wniosków'!C:C,"13.*")</f>
        <v>0</v>
      </c>
      <c r="E16" s="32">
        <f>SUMIFS('Harmonogram naborów wniosków'!J:J,'Harmonogram naborów wniosków'!C:C,"13.*")</f>
        <v>0</v>
      </c>
    </row>
    <row r="17" spans="1:5" ht="15.6" x14ac:dyDescent="0.3">
      <c r="A17" s="29"/>
      <c r="B17" s="183" t="s">
        <v>271</v>
      </c>
      <c r="C17" s="184">
        <f>SUM(C4:C16)</f>
        <v>93</v>
      </c>
      <c r="D17" s="185">
        <f>SUM(D4:D16)</f>
        <v>1008247885.6734831</v>
      </c>
      <c r="E17" s="186">
        <f>SUM(E4:E16)</f>
        <v>4486703091.2469997</v>
      </c>
    </row>
    <row r="18" spans="1:5" ht="15" x14ac:dyDescent="0.3">
      <c r="D18" s="182"/>
      <c r="E18" s="182"/>
    </row>
    <row r="21" spans="1:5" ht="15.6" x14ac:dyDescent="0.3">
      <c r="A21" s="37" t="s">
        <v>272</v>
      </c>
      <c r="B21" s="37"/>
      <c r="C21" s="23"/>
      <c r="D21" s="23"/>
      <c r="E21" s="23"/>
    </row>
    <row r="22" spans="1:5" x14ac:dyDescent="0.3">
      <c r="A22" s="23"/>
      <c r="B22" s="23"/>
      <c r="C22" s="23"/>
      <c r="D22" s="188" t="s">
        <v>243</v>
      </c>
      <c r="E22" s="188" t="s">
        <v>244</v>
      </c>
    </row>
    <row r="23" spans="1:5" x14ac:dyDescent="0.3">
      <c r="A23" s="38" t="s">
        <v>273</v>
      </c>
      <c r="B23" s="30" t="s">
        <v>60</v>
      </c>
      <c r="C23" s="30">
        <f>COUNTIF('Harmonogram naborów wniosków'!N:N,Monitoring!B23)</f>
        <v>64</v>
      </c>
      <c r="D23" s="31">
        <f>SUMIFS('Harmonogram naborów wniosków'!K:K,'Harmonogram naborów wniosków'!N:N,Monitoring!B23)</f>
        <v>713594679.1566292</v>
      </c>
      <c r="E23" s="32">
        <f>SUMIFS('Harmonogram naborów wniosków'!J:J,'Harmonogram naborów wniosków'!N:N,Monitoring!B23)</f>
        <v>3175496322.2470002</v>
      </c>
    </row>
    <row r="24" spans="1:5" x14ac:dyDescent="0.3">
      <c r="A24" s="38" t="s">
        <v>274</v>
      </c>
      <c r="B24" s="30" t="s">
        <v>275</v>
      </c>
      <c r="C24" s="30">
        <f>COUNTIF('Harmonogram naborów wniosków'!N:N,Monitoring!B24)</f>
        <v>15</v>
      </c>
      <c r="D24" s="31">
        <f>SUMIFS('Harmonogram naborów wniosków'!K:K,'Harmonogram naborów wniosków'!N:N,Monitoring!B24)</f>
        <v>70284031.269662917</v>
      </c>
      <c r="E24" s="32">
        <f>SUMIFS('Harmonogram naborów wniosków'!J:J,'Harmonogram naborów wniosków'!N:N,Monitoring!B24)</f>
        <v>312763939.14999998</v>
      </c>
    </row>
    <row r="25" spans="1:5" x14ac:dyDescent="0.3">
      <c r="A25" s="38" t="s">
        <v>276</v>
      </c>
      <c r="B25" s="30" t="s">
        <v>189</v>
      </c>
      <c r="C25" s="30">
        <f>COUNTIF('Harmonogram naborów wniosków'!N:N,Monitoring!B25)</f>
        <v>5</v>
      </c>
      <c r="D25" s="31">
        <f>SUMIFS('Harmonogram naborów wniosków'!K:K,'Harmonogram naborów wniosków'!N:N,Monitoring!B25)</f>
        <v>170338202.24719101</v>
      </c>
      <c r="E25" s="32">
        <f>SUMIFS('Harmonogram naborów wniosków'!J:J,'Harmonogram naborów wniosków'!N:N,Monitoring!B25)</f>
        <v>758005000</v>
      </c>
    </row>
    <row r="26" spans="1:5" x14ac:dyDescent="0.3">
      <c r="A26" s="38" t="s">
        <v>277</v>
      </c>
      <c r="B26" s="187" t="s">
        <v>108</v>
      </c>
      <c r="C26" s="30">
        <f>COUNTIF('Harmonogram naborów wniosków'!N:N,Monitoring!B26)</f>
        <v>9</v>
      </c>
      <c r="D26" s="31">
        <f>SUMIFS('Harmonogram naborów wniosków'!K:K,'Harmonogram naborów wniosków'!N:N,Monitoring!B26)</f>
        <v>54030973</v>
      </c>
      <c r="E26" s="32">
        <f>SUMIFS('Harmonogram naborów wniosków'!J:J,'Harmonogram naborów wniosków'!N:N,Monitoring!B26)</f>
        <v>240437829.85000002</v>
      </c>
    </row>
    <row r="27" spans="1:5" x14ac:dyDescent="0.3">
      <c r="A27" s="38" t="s">
        <v>278</v>
      </c>
      <c r="B27" s="30" t="s">
        <v>279</v>
      </c>
      <c r="C27" s="30">
        <f>COUNTIF('Harmonogram naborów wniosków'!N:N,Monitoring!B27)</f>
        <v>0</v>
      </c>
      <c r="D27" s="31">
        <f>SUMIFS('Harmonogram naborów wniosków'!K:K,'Harmonogram naborów wniosków'!N:N,Monitoring!B27)</f>
        <v>0</v>
      </c>
      <c r="E27" s="32">
        <f>SUMIFS('Harmonogram naborów wniosków'!J:J,'Harmonogram naborów wniosków'!N:N,Monitoring!B27)</f>
        <v>0</v>
      </c>
    </row>
    <row r="28" spans="1:5" ht="15.6" x14ac:dyDescent="0.3">
      <c r="A28" s="23"/>
      <c r="B28" s="179" t="s">
        <v>271</v>
      </c>
      <c r="C28" s="176">
        <f>SUM(C23:C27)</f>
        <v>93</v>
      </c>
      <c r="D28" s="177">
        <f t="shared" ref="D28:E28" si="0">SUM(D23:D27)</f>
        <v>1008247885.6734831</v>
      </c>
      <c r="E28" s="178">
        <f t="shared" si="0"/>
        <v>4486703091.2470007</v>
      </c>
    </row>
    <row r="31" spans="1:5" ht="15.6" x14ac:dyDescent="0.3">
      <c r="A31" s="37" t="s">
        <v>280</v>
      </c>
      <c r="B31" s="37"/>
      <c r="C31" s="23"/>
      <c r="D31" s="23"/>
      <c r="E31" s="23"/>
    </row>
    <row r="32" spans="1:5" x14ac:dyDescent="0.3">
      <c r="A32" s="30"/>
      <c r="B32" s="30"/>
      <c r="C32" s="30"/>
      <c r="D32" s="188" t="s">
        <v>243</v>
      </c>
      <c r="E32" s="188" t="s">
        <v>244</v>
      </c>
    </row>
    <row r="33" spans="1:6" x14ac:dyDescent="0.3">
      <c r="A33" s="189"/>
      <c r="B33" s="190">
        <v>45657</v>
      </c>
      <c r="C33" s="189">
        <f>COUNTIFS('Harmonogram naborów wniosków'!P:P,"&lt;="&amp;Monitoring!B33)</f>
        <v>31</v>
      </c>
      <c r="D33" s="191">
        <f>SUMIFS('Harmonogram naborów wniosków'!K:K,'Harmonogram naborów wniosków'!P:P,"&lt;="&amp;B33)</f>
        <v>301581177.41853929</v>
      </c>
      <c r="E33" s="192">
        <f>SUMIFS('Harmonogram naborów wniosków'!J:J,'Harmonogram naborów wniosków'!P:P,"&lt;="&amp;B33)</f>
        <v>1342036239.5124998</v>
      </c>
      <c r="F33" t="s">
        <v>281</v>
      </c>
    </row>
    <row r="34" spans="1:6" x14ac:dyDescent="0.3">
      <c r="A34" s="190">
        <v>45658</v>
      </c>
      <c r="B34" s="190">
        <v>46022</v>
      </c>
      <c r="C34" s="189">
        <f>COUNTIFS('Harmonogram naborów wniosków'!P:P,"&gt;="&amp;Monitoring!A34,'Harmonogram naborów wniosków'!P:P,"&lt;="&amp;Monitoring!B34)</f>
        <v>61</v>
      </c>
      <c r="D34" s="191">
        <f>SUMIFS('Harmonogram naborów wniosków'!K:K,'Harmonogram naborów wniosków'!P:P,"&gt;="&amp;A34,'Harmonogram naborów wniosków'!P:P,"&lt;="&amp;B34)</f>
        <v>684194798.1425842</v>
      </c>
      <c r="E34" s="192">
        <f>SUMIFS('Harmonogram naborów wniosków'!J:J,'Harmonogram naborów wniosków'!P:P,"&gt;="&amp;A34,'Harmonogram naborów wniosków'!P:P,"&lt;="&amp;B34)</f>
        <v>3044666851.7344999</v>
      </c>
      <c r="F34" t="s">
        <v>282</v>
      </c>
    </row>
    <row r="35" spans="1:6" x14ac:dyDescent="0.3">
      <c r="A35" s="189"/>
      <c r="B35" s="190">
        <v>46023</v>
      </c>
      <c r="C35" s="189">
        <f>COUNTIFS('Harmonogram naborów wniosków'!P:P,"&gt;="&amp;Monitoring!B35)</f>
        <v>1</v>
      </c>
      <c r="D35" s="191">
        <f>SUMIFS('Harmonogram naborów wniosków'!K:K,'Harmonogram naborów wniosków'!P:P,"&gt;="&amp;B35)</f>
        <v>22471910.11235955</v>
      </c>
      <c r="E35" s="192">
        <f>SUMIFS('Harmonogram naborów wniosków'!J:J,'Harmonogram naborów wniosków'!P:P,"&gt;="&amp;B35)</f>
        <v>100000000</v>
      </c>
      <c r="F35" t="s">
        <v>283</v>
      </c>
    </row>
    <row r="36" spans="1:6" ht="15.6" x14ac:dyDescent="0.3">
      <c r="B36" s="179" t="s">
        <v>271</v>
      </c>
      <c r="C36" s="176">
        <f>SUM(C33:C35)</f>
        <v>93</v>
      </c>
      <c r="D36" s="180">
        <f>SUM(D33:D35)</f>
        <v>1008247885.673483</v>
      </c>
      <c r="E36" s="181">
        <f>SUM(E33:E35)</f>
        <v>4486703091.2469997</v>
      </c>
    </row>
  </sheetData>
  <mergeCells count="1">
    <mergeCell ref="A3:B3"/>
  </mergeCells>
  <dataValidations disablePrompts="1" count="1">
    <dataValidation type="decimal" operator="greaterThan" allowBlank="1" showInputMessage="1" showErrorMessage="1" sqref="D18:E18" xr:uid="{00000000-0002-0000-0100-000000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6"/>
  <sheetViews>
    <sheetView topLeftCell="A88" workbookViewId="0">
      <selection activeCell="C90" sqref="C90"/>
    </sheetView>
  </sheetViews>
  <sheetFormatPr defaultRowHeight="14.4" x14ac:dyDescent="0.3"/>
  <cols>
    <col min="1" max="1" width="20.109375" style="2" customWidth="1"/>
    <col min="2" max="2" width="8" style="199" customWidth="1"/>
    <col min="3" max="3" width="44.6640625" customWidth="1"/>
    <col min="4" max="4" width="19" style="1" customWidth="1"/>
    <col min="5" max="5" width="19.33203125" style="1" customWidth="1"/>
    <col min="6" max="6" width="43.109375" style="1" customWidth="1"/>
    <col min="7" max="7" width="111.33203125" style="33" bestFit="1" customWidth="1"/>
  </cols>
  <sheetData>
    <row r="1" spans="1:7" ht="15.6" x14ac:dyDescent="0.3">
      <c r="A1" s="16" t="s">
        <v>284</v>
      </c>
      <c r="B1" s="196" t="s">
        <v>285</v>
      </c>
      <c r="C1" s="17" t="s">
        <v>286</v>
      </c>
      <c r="D1" s="18" t="s">
        <v>287</v>
      </c>
      <c r="E1" s="19" t="s">
        <v>288</v>
      </c>
      <c r="F1" s="11"/>
      <c r="G1" s="44"/>
    </row>
    <row r="2" spans="1:7" ht="57.6" x14ac:dyDescent="0.3">
      <c r="A2" s="12" t="s">
        <v>289</v>
      </c>
      <c r="B2" s="197" t="s">
        <v>290</v>
      </c>
      <c r="C2" s="4" t="s">
        <v>291</v>
      </c>
      <c r="D2" s="5" t="s">
        <v>292</v>
      </c>
      <c r="E2" s="15" t="s">
        <v>60</v>
      </c>
      <c r="F2" s="5"/>
      <c r="G2" s="44" t="str">
        <f t="shared" ref="G2:G33" si="0">CONCATENATE(A2," ",D2)</f>
        <v>01.01 B+R - organizacje badawcze</v>
      </c>
    </row>
    <row r="3" spans="1:7" ht="43.2" x14ac:dyDescent="0.3">
      <c r="A3" s="12" t="s">
        <v>17</v>
      </c>
      <c r="B3" s="197" t="s">
        <v>290</v>
      </c>
      <c r="C3" s="4" t="s">
        <v>291</v>
      </c>
      <c r="D3" s="5" t="s">
        <v>293</v>
      </c>
      <c r="E3" s="15" t="s">
        <v>189</v>
      </c>
      <c r="F3" s="5"/>
      <c r="G3" s="44" t="str">
        <f t="shared" si="0"/>
        <v>01.02 Badania, rozwój i innowacje w przedsiębiorstwach</v>
      </c>
    </row>
    <row r="4" spans="1:7" ht="43.2" x14ac:dyDescent="0.3">
      <c r="A4" s="12" t="s">
        <v>294</v>
      </c>
      <c r="B4" s="197" t="s">
        <v>290</v>
      </c>
      <c r="C4" s="4" t="s">
        <v>291</v>
      </c>
      <c r="D4" s="5" t="s">
        <v>295</v>
      </c>
      <c r="E4" s="15" t="s">
        <v>108</v>
      </c>
      <c r="F4" s="5"/>
      <c r="G4" s="44" t="str">
        <f t="shared" si="0"/>
        <v>01.03 Ekosystem RIS</v>
      </c>
    </row>
    <row r="5" spans="1:7" ht="57.6" x14ac:dyDescent="0.3">
      <c r="A5" s="12" t="s">
        <v>296</v>
      </c>
      <c r="B5" s="197" t="s">
        <v>297</v>
      </c>
      <c r="C5" s="4" t="s">
        <v>298</v>
      </c>
      <c r="D5" s="8" t="s">
        <v>299</v>
      </c>
      <c r="E5" s="15" t="s">
        <v>60</v>
      </c>
      <c r="F5" s="5"/>
      <c r="G5" s="44" t="str">
        <f t="shared" si="0"/>
        <v xml:space="preserve">01.04 Cyfryzacja administracji publicznej </v>
      </c>
    </row>
    <row r="6" spans="1:7" ht="62.4" x14ac:dyDescent="0.3">
      <c r="A6" s="12" t="s">
        <v>300</v>
      </c>
      <c r="B6" s="197" t="s">
        <v>297</v>
      </c>
      <c r="C6" s="4" t="s">
        <v>298</v>
      </c>
      <c r="D6" s="8" t="s">
        <v>301</v>
      </c>
      <c r="E6" s="15" t="s">
        <v>60</v>
      </c>
      <c r="F6" s="5"/>
      <c r="G6" s="44" t="str">
        <f t="shared" si="0"/>
        <v>01.05 Innowacyjne rozwiązania cyfrowe w ochronie zdrowia</v>
      </c>
    </row>
    <row r="7" spans="1:7" ht="43.2" x14ac:dyDescent="0.3">
      <c r="A7" s="12" t="s">
        <v>302</v>
      </c>
      <c r="B7" s="197" t="s">
        <v>303</v>
      </c>
      <c r="C7" s="4" t="s">
        <v>304</v>
      </c>
      <c r="D7" s="5" t="s">
        <v>305</v>
      </c>
      <c r="E7" s="15" t="s">
        <v>108</v>
      </c>
      <c r="F7" s="5"/>
      <c r="G7" s="44" t="str">
        <f t="shared" si="0"/>
        <v>01.06 Rozwój przedsiębiorczości - EFRR</v>
      </c>
    </row>
    <row r="8" spans="1:7" ht="57.6" x14ac:dyDescent="0.3">
      <c r="A8" s="12" t="s">
        <v>306</v>
      </c>
      <c r="B8" s="197" t="s">
        <v>303</v>
      </c>
      <c r="C8" s="4" t="s">
        <v>304</v>
      </c>
      <c r="D8" s="5" t="s">
        <v>307</v>
      </c>
      <c r="E8" s="15" t="s">
        <v>60</v>
      </c>
      <c r="F8" s="5"/>
      <c r="G8" s="44" t="str">
        <f t="shared" si="0"/>
        <v>01.07 Klastry</v>
      </c>
    </row>
    <row r="9" spans="1:7" ht="43.2" x14ac:dyDescent="0.3">
      <c r="A9" s="12" t="s">
        <v>308</v>
      </c>
      <c r="B9" s="197" t="s">
        <v>303</v>
      </c>
      <c r="C9" s="4" t="s">
        <v>304</v>
      </c>
      <c r="D9" s="5" t="s">
        <v>309</v>
      </c>
      <c r="E9" s="15" t="s">
        <v>189</v>
      </c>
      <c r="F9" s="5"/>
      <c r="G9" s="44" t="str">
        <f t="shared" si="0"/>
        <v>01.08 Innowacje cyfrowe w MŚP</v>
      </c>
    </row>
    <row r="10" spans="1:7" ht="57.6" x14ac:dyDescent="0.3">
      <c r="A10" s="12" t="s">
        <v>310</v>
      </c>
      <c r="B10" s="197" t="s">
        <v>303</v>
      </c>
      <c r="C10" s="4" t="s">
        <v>304</v>
      </c>
      <c r="D10" s="5" t="s">
        <v>311</v>
      </c>
      <c r="E10" s="15" t="s">
        <v>279</v>
      </c>
      <c r="F10" s="5"/>
      <c r="G10" s="44" t="str">
        <f t="shared" si="0"/>
        <v>01.09 Konkurencyjność przedsiębiorstw (IF)</v>
      </c>
    </row>
    <row r="11" spans="1:7" ht="43.2" x14ac:dyDescent="0.3">
      <c r="A11" s="12" t="s">
        <v>312</v>
      </c>
      <c r="B11" s="197" t="s">
        <v>303</v>
      </c>
      <c r="C11" s="4" t="s">
        <v>304</v>
      </c>
      <c r="D11" s="5" t="s">
        <v>313</v>
      </c>
      <c r="E11" s="15" t="s">
        <v>189</v>
      </c>
      <c r="F11" s="5"/>
      <c r="G11" s="44" t="str">
        <f t="shared" si="0"/>
        <v>01.10 Promocja eksportu i internacjonalizacja MŚP</v>
      </c>
    </row>
    <row r="12" spans="1:7" ht="72" x14ac:dyDescent="0.3">
      <c r="A12" s="12" t="s">
        <v>24</v>
      </c>
      <c r="B12" s="194" t="s">
        <v>314</v>
      </c>
      <c r="C12" s="4" t="s">
        <v>315</v>
      </c>
      <c r="D12" s="10" t="s">
        <v>316</v>
      </c>
      <c r="E12" s="15" t="s">
        <v>60</v>
      </c>
      <c r="F12" s="5"/>
      <c r="G12" s="44" t="str">
        <f t="shared" si="0"/>
        <v xml:space="preserve">02.01 Efektywność energetyczna budynków użyteczności publicznej </v>
      </c>
    </row>
    <row r="13" spans="1:7" ht="72" x14ac:dyDescent="0.3">
      <c r="A13" s="12" t="s">
        <v>28</v>
      </c>
      <c r="B13" s="194" t="s">
        <v>314</v>
      </c>
      <c r="C13" s="4" t="s">
        <v>315</v>
      </c>
      <c r="D13" s="10" t="s">
        <v>317</v>
      </c>
      <c r="E13" s="15" t="s">
        <v>60</v>
      </c>
      <c r="F13" s="5"/>
      <c r="G13" s="44" t="str">
        <f t="shared" si="0"/>
        <v>02.02 Efektywność energetyczna budynków użyteczności publicznej - ZIT</v>
      </c>
    </row>
    <row r="14" spans="1:7" ht="57.6" x14ac:dyDescent="0.3">
      <c r="A14" s="12" t="s">
        <v>318</v>
      </c>
      <c r="B14" s="194" t="s">
        <v>314</v>
      </c>
      <c r="C14" s="4" t="s">
        <v>315</v>
      </c>
      <c r="D14" s="5" t="s">
        <v>319</v>
      </c>
      <c r="E14" s="15" t="s">
        <v>60</v>
      </c>
      <c r="F14" s="5"/>
      <c r="G14" s="44" t="str">
        <f t="shared" si="0"/>
        <v xml:space="preserve">02.03 Efektywność energetyczna budynków mieszkalnych </v>
      </c>
    </row>
    <row r="15" spans="1:7" ht="57.6" x14ac:dyDescent="0.3">
      <c r="A15" s="12" t="s">
        <v>34</v>
      </c>
      <c r="B15" s="194" t="s">
        <v>314</v>
      </c>
      <c r="C15" s="4" t="s">
        <v>315</v>
      </c>
      <c r="D15" s="5" t="s">
        <v>320</v>
      </c>
      <c r="E15" s="15" t="s">
        <v>60</v>
      </c>
      <c r="F15" s="5"/>
      <c r="G15" s="44" t="str">
        <f t="shared" si="0"/>
        <v>02.04 Efektywność energetyczna budynków mieszkalnych - ZIT</v>
      </c>
    </row>
    <row r="16" spans="1:7" ht="100.8" x14ac:dyDescent="0.3">
      <c r="A16" s="12" t="s">
        <v>321</v>
      </c>
      <c r="B16" s="194" t="s">
        <v>314</v>
      </c>
      <c r="C16" s="4" t="s">
        <v>315</v>
      </c>
      <c r="D16" s="5" t="s">
        <v>322</v>
      </c>
      <c r="E16" s="15" t="s">
        <v>279</v>
      </c>
      <c r="F16" s="5"/>
      <c r="G16" s="44" t="str">
        <f t="shared" si="0"/>
        <v>02.05 Efektywność energetyczna budynków użyteczności publicznej, mieszkalnych i przedsiębiorstw (IF)</v>
      </c>
    </row>
    <row r="17" spans="1:7" ht="57.6" x14ac:dyDescent="0.3">
      <c r="A17" s="12" t="s">
        <v>45</v>
      </c>
      <c r="B17" s="197" t="s">
        <v>323</v>
      </c>
      <c r="C17" s="4" t="s">
        <v>324</v>
      </c>
      <c r="D17" s="6" t="s">
        <v>325</v>
      </c>
      <c r="E17" s="15" t="s">
        <v>60</v>
      </c>
      <c r="F17" s="5"/>
      <c r="G17" s="44" t="str">
        <f t="shared" si="0"/>
        <v>02.06 Odnawialne źródła energii</v>
      </c>
    </row>
    <row r="18" spans="1:7" ht="57.6" x14ac:dyDescent="0.3">
      <c r="A18" s="12" t="s">
        <v>326</v>
      </c>
      <c r="B18" s="197" t="s">
        <v>323</v>
      </c>
      <c r="C18" s="4" t="s">
        <v>324</v>
      </c>
      <c r="D18" s="6" t="s">
        <v>327</v>
      </c>
      <c r="E18" s="15" t="s">
        <v>279</v>
      </c>
      <c r="F18" s="5"/>
      <c r="G18" s="44" t="str">
        <f t="shared" si="0"/>
        <v>02.07 Odnawialne źródła energii (IF)</v>
      </c>
    </row>
    <row r="19" spans="1:7" ht="57.6" x14ac:dyDescent="0.3">
      <c r="A19" s="13" t="s">
        <v>47</v>
      </c>
      <c r="B19" s="197" t="s">
        <v>328</v>
      </c>
      <c r="C19" s="4" t="s">
        <v>329</v>
      </c>
      <c r="D19" s="5" t="s">
        <v>330</v>
      </c>
      <c r="E19" s="15" t="s">
        <v>60</v>
      </c>
      <c r="F19" s="5"/>
      <c r="G19" s="44" t="str">
        <f t="shared" si="0"/>
        <v>02.08 Wsparcie dla klimatu</v>
      </c>
    </row>
    <row r="20" spans="1:7" ht="57.6" x14ac:dyDescent="0.3">
      <c r="A20" s="13" t="s">
        <v>53</v>
      </c>
      <c r="B20" s="197" t="s">
        <v>328</v>
      </c>
      <c r="C20" s="4" t="s">
        <v>329</v>
      </c>
      <c r="D20" s="5" t="s">
        <v>331</v>
      </c>
      <c r="E20" s="15" t="s">
        <v>60</v>
      </c>
      <c r="F20" s="5"/>
      <c r="G20" s="44" t="str">
        <f t="shared" si="0"/>
        <v>02.09 Wsparcie dla klimatu - ZIT</v>
      </c>
    </row>
    <row r="21" spans="1:7" ht="57.6" x14ac:dyDescent="0.3">
      <c r="A21" s="13" t="s">
        <v>332</v>
      </c>
      <c r="B21" s="197" t="s">
        <v>328</v>
      </c>
      <c r="C21" s="4" t="s">
        <v>329</v>
      </c>
      <c r="D21" s="5" t="s">
        <v>333</v>
      </c>
      <c r="E21" s="15" t="s">
        <v>60</v>
      </c>
      <c r="F21" s="5"/>
      <c r="G21" s="44" t="str">
        <f t="shared" si="0"/>
        <v>02.10 Wzmocnienie potencjału służb ratowniczych</v>
      </c>
    </row>
    <row r="22" spans="1:7" ht="57.6" x14ac:dyDescent="0.3">
      <c r="A22" s="12" t="s">
        <v>55</v>
      </c>
      <c r="B22" s="197" t="s">
        <v>334</v>
      </c>
      <c r="C22" s="4" t="s">
        <v>335</v>
      </c>
      <c r="D22" s="5" t="s">
        <v>56</v>
      </c>
      <c r="E22" s="15" t="s">
        <v>60</v>
      </c>
      <c r="F22" s="5"/>
      <c r="G22" s="44" t="str">
        <f t="shared" si="0"/>
        <v>02.11 Infrastruktura wodno-kanalizacyjna</v>
      </c>
    </row>
    <row r="23" spans="1:7" ht="57.6" x14ac:dyDescent="0.3">
      <c r="A23" s="12" t="s">
        <v>63</v>
      </c>
      <c r="B23" s="197" t="s">
        <v>336</v>
      </c>
      <c r="C23" s="4" t="s">
        <v>337</v>
      </c>
      <c r="D23" s="6" t="s">
        <v>338</v>
      </c>
      <c r="E23" s="15" t="s">
        <v>60</v>
      </c>
      <c r="F23" s="5"/>
      <c r="G23" s="44" t="str">
        <f t="shared" si="0"/>
        <v>02.12 Gospodarka odpadami komunalnymi</v>
      </c>
    </row>
    <row r="24" spans="1:7" ht="57.6" x14ac:dyDescent="0.3">
      <c r="A24" s="12" t="s">
        <v>339</v>
      </c>
      <c r="B24" s="197" t="s">
        <v>336</v>
      </c>
      <c r="C24" s="4" t="s">
        <v>337</v>
      </c>
      <c r="D24" s="6" t="s">
        <v>340</v>
      </c>
      <c r="E24" s="15" t="s">
        <v>279</v>
      </c>
      <c r="F24" s="5"/>
      <c r="G24" s="44" t="str">
        <f t="shared" si="0"/>
        <v>02.13 Gospodarka o obiegu zamkniętym (IF)</v>
      </c>
    </row>
    <row r="25" spans="1:7" ht="57.6" x14ac:dyDescent="0.3">
      <c r="A25" s="12" t="s">
        <v>70</v>
      </c>
      <c r="B25" s="197" t="s">
        <v>341</v>
      </c>
      <c r="C25" s="4" t="s">
        <v>342</v>
      </c>
      <c r="D25" s="5" t="s">
        <v>343</v>
      </c>
      <c r="E25" s="15" t="s">
        <v>60</v>
      </c>
      <c r="F25" s="5"/>
      <c r="G25" s="44" t="str">
        <f t="shared" si="0"/>
        <v>02.14 Ochrona przyrody i bioróżnorodność</v>
      </c>
    </row>
    <row r="26" spans="1:7" ht="57.6" x14ac:dyDescent="0.3">
      <c r="A26" s="12" t="s">
        <v>75</v>
      </c>
      <c r="B26" s="197" t="s">
        <v>341</v>
      </c>
      <c r="C26" s="4" t="s">
        <v>342</v>
      </c>
      <c r="D26" s="5" t="s">
        <v>344</v>
      </c>
      <c r="E26" s="15" t="s">
        <v>60</v>
      </c>
      <c r="F26" s="5"/>
      <c r="G26" s="44" t="str">
        <f t="shared" si="0"/>
        <v>02.15 Ochrona przyrody i bioróżnorodność - ZIT</v>
      </c>
    </row>
    <row r="27" spans="1:7" ht="57.6" x14ac:dyDescent="0.3">
      <c r="A27" s="12" t="s">
        <v>77</v>
      </c>
      <c r="B27" s="197" t="s">
        <v>341</v>
      </c>
      <c r="C27" s="4" t="s">
        <v>342</v>
      </c>
      <c r="D27" s="6" t="s">
        <v>345</v>
      </c>
      <c r="E27" s="15" t="s">
        <v>60</v>
      </c>
      <c r="F27" s="5"/>
      <c r="G27" s="44" t="str">
        <f t="shared" si="0"/>
        <v>02.16 Rekultywacja terenów zdegradowanych</v>
      </c>
    </row>
    <row r="28" spans="1:7" ht="57.6" x14ac:dyDescent="0.3">
      <c r="A28" s="14" t="s">
        <v>83</v>
      </c>
      <c r="B28" s="197" t="s">
        <v>346</v>
      </c>
      <c r="C28" s="4" t="s">
        <v>347</v>
      </c>
      <c r="D28" s="5" t="s">
        <v>348</v>
      </c>
      <c r="E28" s="15" t="s">
        <v>60</v>
      </c>
      <c r="F28" s="5"/>
      <c r="G28" s="44" t="str">
        <f t="shared" si="0"/>
        <v>03.01 Zakup taboru autobusowego/ trolejbusowego - ZIT</v>
      </c>
    </row>
    <row r="29" spans="1:7" ht="57.6" x14ac:dyDescent="0.3">
      <c r="A29" s="14" t="s">
        <v>87</v>
      </c>
      <c r="B29" s="197" t="s">
        <v>346</v>
      </c>
      <c r="C29" s="4" t="s">
        <v>347</v>
      </c>
      <c r="D29" s="5" t="s">
        <v>349</v>
      </c>
      <c r="E29" s="15" t="s">
        <v>60</v>
      </c>
      <c r="F29" s="5"/>
      <c r="G29" s="44" t="str">
        <f t="shared" si="0"/>
        <v>03.02 Zrównoważona multimodalna mobilność miejska  - ZIT</v>
      </c>
    </row>
    <row r="30" spans="1:7" ht="57.6" x14ac:dyDescent="0.3">
      <c r="A30" s="14" t="s">
        <v>92</v>
      </c>
      <c r="B30" s="197" t="s">
        <v>346</v>
      </c>
      <c r="C30" s="4" t="s">
        <v>347</v>
      </c>
      <c r="D30" s="5" t="s">
        <v>350</v>
      </c>
      <c r="E30" s="15" t="s">
        <v>60</v>
      </c>
      <c r="F30" s="5"/>
      <c r="G30" s="44" t="str">
        <f t="shared" si="0"/>
        <v>03.03 Regionalne Trasy Rowerowe - ZIT</v>
      </c>
    </row>
    <row r="31" spans="1:7" ht="72" x14ac:dyDescent="0.3">
      <c r="A31" s="12" t="s">
        <v>351</v>
      </c>
      <c r="B31" s="197" t="s">
        <v>352</v>
      </c>
      <c r="C31" s="4" t="s">
        <v>353</v>
      </c>
      <c r="D31" s="6" t="s">
        <v>354</v>
      </c>
      <c r="E31" s="15" t="s">
        <v>60</v>
      </c>
      <c r="F31" s="5"/>
      <c r="G31" s="44" t="str">
        <f t="shared" si="0"/>
        <v>04.01 Drogi wojewódzkie</v>
      </c>
    </row>
    <row r="32" spans="1:7" ht="72" x14ac:dyDescent="0.3">
      <c r="A32" s="12" t="s">
        <v>355</v>
      </c>
      <c r="B32" s="197" t="s">
        <v>352</v>
      </c>
      <c r="C32" s="4" t="s">
        <v>353</v>
      </c>
      <c r="D32" s="6" t="s">
        <v>356</v>
      </c>
      <c r="E32" s="15" t="s">
        <v>60</v>
      </c>
      <c r="F32" s="5"/>
      <c r="G32" s="44" t="str">
        <f t="shared" si="0"/>
        <v>04.02 Drogi gminne i powiatowe</v>
      </c>
    </row>
    <row r="33" spans="1:7" ht="72" x14ac:dyDescent="0.3">
      <c r="A33" s="12" t="s">
        <v>357</v>
      </c>
      <c r="B33" s="197" t="s">
        <v>352</v>
      </c>
      <c r="C33" s="4" t="s">
        <v>353</v>
      </c>
      <c r="D33" s="6" t="s">
        <v>358</v>
      </c>
      <c r="E33" s="15" t="s">
        <v>60</v>
      </c>
      <c r="F33" s="5"/>
      <c r="G33" s="44" t="str">
        <f t="shared" si="0"/>
        <v>04.03 Regionalny tabor kolejowy</v>
      </c>
    </row>
    <row r="34" spans="1:7" ht="129.6" x14ac:dyDescent="0.3">
      <c r="A34" s="14" t="s">
        <v>359</v>
      </c>
      <c r="B34" s="197" t="s">
        <v>360</v>
      </c>
      <c r="C34" s="4" t="s">
        <v>361</v>
      </c>
      <c r="D34" s="5" t="s">
        <v>362</v>
      </c>
      <c r="E34" s="15" t="s">
        <v>108</v>
      </c>
      <c r="F34" s="5"/>
      <c r="G34" s="44" t="str">
        <f t="shared" ref="G34:G65" si="1">CONCATENATE(A34," ",D34)</f>
        <v>05.01 Aktywizacja zawodowa poprzez PUP</v>
      </c>
    </row>
    <row r="35" spans="1:7" ht="129.6" x14ac:dyDescent="0.3">
      <c r="A35" s="14" t="s">
        <v>97</v>
      </c>
      <c r="B35" s="197" t="s">
        <v>360</v>
      </c>
      <c r="C35" s="4" t="s">
        <v>361</v>
      </c>
      <c r="D35" s="5" t="s">
        <v>363</v>
      </c>
      <c r="E35" s="15" t="s">
        <v>108</v>
      </c>
      <c r="F35" s="5"/>
      <c r="G35" s="44" t="str">
        <f t="shared" si="1"/>
        <v>05.02 Aktywizacja zawodowa poprzez OHP</v>
      </c>
    </row>
    <row r="36" spans="1:7" ht="129.6" x14ac:dyDescent="0.3">
      <c r="A36" s="14" t="s">
        <v>101</v>
      </c>
      <c r="B36" s="197" t="s">
        <v>360</v>
      </c>
      <c r="C36" s="4" t="s">
        <v>361</v>
      </c>
      <c r="D36" s="5" t="s">
        <v>364</v>
      </c>
      <c r="E36" s="15" t="s">
        <v>108</v>
      </c>
      <c r="F36" s="5"/>
      <c r="G36" s="44" t="str">
        <f t="shared" si="1"/>
        <v>05.03 ALMA - staże zagraniczne dla młodych</v>
      </c>
    </row>
    <row r="37" spans="1:7" ht="129.6" x14ac:dyDescent="0.3">
      <c r="A37" s="14" t="s">
        <v>365</v>
      </c>
      <c r="B37" s="197" t="s">
        <v>360</v>
      </c>
      <c r="C37" s="4" t="s">
        <v>361</v>
      </c>
      <c r="D37" s="5" t="s">
        <v>366</v>
      </c>
      <c r="E37" s="15" t="s">
        <v>108</v>
      </c>
      <c r="F37" s="5"/>
      <c r="G37" s="44" t="str">
        <f t="shared" si="1"/>
        <v>05.04 Aktywizacja zawodowa osób pracujących</v>
      </c>
    </row>
    <row r="38" spans="1:7" ht="129.6" x14ac:dyDescent="0.3">
      <c r="A38" s="14" t="s">
        <v>367</v>
      </c>
      <c r="B38" s="197" t="s">
        <v>360</v>
      </c>
      <c r="C38" s="4" t="s">
        <v>361</v>
      </c>
      <c r="D38" s="5" t="s">
        <v>368</v>
      </c>
      <c r="E38" s="15" t="s">
        <v>108</v>
      </c>
      <c r="F38" s="5"/>
      <c r="G38" s="44" t="str">
        <f t="shared" si="1"/>
        <v>05.05 Usługi EURES</v>
      </c>
    </row>
    <row r="39" spans="1:7" ht="100.8" x14ac:dyDescent="0.3">
      <c r="A39" s="14" t="s">
        <v>104</v>
      </c>
      <c r="B39" s="197" t="s">
        <v>369</v>
      </c>
      <c r="C39" s="4" t="s">
        <v>370</v>
      </c>
      <c r="D39" s="5" t="s">
        <v>371</v>
      </c>
      <c r="E39" s="15" t="s">
        <v>108</v>
      </c>
      <c r="F39" s="5"/>
      <c r="G39" s="44" t="str">
        <f t="shared" si="1"/>
        <v>05.06 Szkolenia dla pracowników IRP</v>
      </c>
    </row>
    <row r="40" spans="1:7" ht="100.8" x14ac:dyDescent="0.3">
      <c r="A40" s="14" t="s">
        <v>372</v>
      </c>
      <c r="B40" s="197" t="s">
        <v>369</v>
      </c>
      <c r="C40" s="4" t="s">
        <v>370</v>
      </c>
      <c r="D40" s="5" t="s">
        <v>373</v>
      </c>
      <c r="E40" s="15" t="s">
        <v>108</v>
      </c>
      <c r="F40" s="5"/>
      <c r="G40" s="44" t="str">
        <f t="shared" si="1"/>
        <v>05.07 Opracowanie modelu prognozowania i monitorowania zmian na rynku pracy.</v>
      </c>
    </row>
    <row r="41" spans="1:7" ht="100.8" x14ac:dyDescent="0.3">
      <c r="A41" s="14" t="s">
        <v>374</v>
      </c>
      <c r="B41" s="197" t="s">
        <v>369</v>
      </c>
      <c r="C41" s="4" t="s">
        <v>370</v>
      </c>
      <c r="D41" s="5" t="s">
        <v>375</v>
      </c>
      <c r="E41" s="15" t="s">
        <v>108</v>
      </c>
      <c r="F41" s="5"/>
      <c r="G41" s="44" t="str">
        <f t="shared" si="1"/>
        <v>05.08 Budowanie sieci współpracy międzyinstytucjonalnej i promocji w zakresie poradnictwa zawodowego.</v>
      </c>
    </row>
    <row r="42" spans="1:7" ht="100.8" x14ac:dyDescent="0.3">
      <c r="A42" s="14" t="s">
        <v>376</v>
      </c>
      <c r="B42" s="197" t="s">
        <v>369</v>
      </c>
      <c r="C42" s="4" t="s">
        <v>370</v>
      </c>
      <c r="D42" s="5" t="s">
        <v>377</v>
      </c>
      <c r="E42" s="15" t="s">
        <v>108</v>
      </c>
      <c r="F42" s="5"/>
      <c r="G42" s="44" t="str">
        <f t="shared" si="1"/>
        <v>05.09 EURES-T Beskydy</v>
      </c>
    </row>
    <row r="43" spans="1:7" ht="100.8" x14ac:dyDescent="0.3">
      <c r="A43" s="14" t="s">
        <v>378</v>
      </c>
      <c r="B43" s="197" t="s">
        <v>369</v>
      </c>
      <c r="C43" s="4" t="s">
        <v>370</v>
      </c>
      <c r="D43" s="5" t="s">
        <v>379</v>
      </c>
      <c r="E43" s="15" t="s">
        <v>108</v>
      </c>
      <c r="F43" s="5"/>
      <c r="G43" s="44" t="str">
        <f t="shared" si="1"/>
        <v>05.10 EURES dla PSZ</v>
      </c>
    </row>
    <row r="44" spans="1:7" ht="100.8" x14ac:dyDescent="0.3">
      <c r="A44" s="14" t="s">
        <v>380</v>
      </c>
      <c r="B44" s="197" t="s">
        <v>381</v>
      </c>
      <c r="C44" s="4" t="s">
        <v>382</v>
      </c>
      <c r="D44" s="5" t="s">
        <v>383</v>
      </c>
      <c r="E44" s="15" t="s">
        <v>108</v>
      </c>
      <c r="F44" s="5"/>
      <c r="G44" s="44" t="str">
        <f t="shared" si="1"/>
        <v>05.11 Równość szans na rynku pracy</v>
      </c>
    </row>
    <row r="45" spans="1:7" ht="72" x14ac:dyDescent="0.3">
      <c r="A45" s="14" t="s">
        <v>109</v>
      </c>
      <c r="B45" s="197" t="s">
        <v>384</v>
      </c>
      <c r="C45" s="4" t="s">
        <v>385</v>
      </c>
      <c r="D45" s="5" t="s">
        <v>386</v>
      </c>
      <c r="E45" s="15" t="s">
        <v>275</v>
      </c>
      <c r="F45" s="5"/>
      <c r="G45" s="44" t="str">
        <f t="shared" si="1"/>
        <v>05.12 Regionalne programy zdrowotne</v>
      </c>
    </row>
    <row r="46" spans="1:7" ht="72" x14ac:dyDescent="0.3">
      <c r="A46" s="14" t="s">
        <v>112</v>
      </c>
      <c r="B46" s="197" t="s">
        <v>384</v>
      </c>
      <c r="C46" s="4" t="s">
        <v>385</v>
      </c>
      <c r="D46" s="5" t="s">
        <v>387</v>
      </c>
      <c r="E46" s="15" t="s">
        <v>275</v>
      </c>
      <c r="F46" s="5"/>
      <c r="G46" s="44" t="str">
        <f t="shared" si="1"/>
        <v>05.13 Zdrowy pracownik</v>
      </c>
    </row>
    <row r="47" spans="1:7" ht="72" x14ac:dyDescent="0.3">
      <c r="A47" s="14" t="s">
        <v>114</v>
      </c>
      <c r="B47" s="197" t="s">
        <v>384</v>
      </c>
      <c r="C47" s="4" t="s">
        <v>385</v>
      </c>
      <c r="D47" s="5" t="s">
        <v>388</v>
      </c>
      <c r="E47" s="15" t="s">
        <v>108</v>
      </c>
      <c r="F47" s="5"/>
      <c r="G47" s="44" t="str">
        <f t="shared" si="1"/>
        <v>05.14 Usługi rozwojowe dla kadr administracji samorządowej</v>
      </c>
    </row>
    <row r="48" spans="1:7" ht="72" x14ac:dyDescent="0.3">
      <c r="A48" s="14" t="s">
        <v>389</v>
      </c>
      <c r="B48" s="197" t="s">
        <v>384</v>
      </c>
      <c r="C48" s="4" t="s">
        <v>385</v>
      </c>
      <c r="D48" s="5" t="s">
        <v>390</v>
      </c>
      <c r="E48" s="15" t="s">
        <v>108</v>
      </c>
      <c r="F48" s="5"/>
      <c r="G48" s="44" t="str">
        <f t="shared" si="1"/>
        <v>05.15 Usługi rozwojowe dla przedsiębiorców - PSF</v>
      </c>
    </row>
    <row r="49" spans="1:7" ht="72" x14ac:dyDescent="0.3">
      <c r="A49" s="14" t="s">
        <v>391</v>
      </c>
      <c r="B49" s="197" t="s">
        <v>384</v>
      </c>
      <c r="C49" s="4" t="s">
        <v>385</v>
      </c>
      <c r="D49" s="5" t="s">
        <v>392</v>
      </c>
      <c r="E49" s="15" t="s">
        <v>108</v>
      </c>
      <c r="F49" s="5"/>
      <c r="G49" s="44" t="str">
        <f t="shared" si="1"/>
        <v>05.16 Outplacement EFS+</v>
      </c>
    </row>
    <row r="50" spans="1:7" ht="129.6" x14ac:dyDescent="0.3">
      <c r="A50" s="14" t="s">
        <v>118</v>
      </c>
      <c r="B50" s="197" t="s">
        <v>393</v>
      </c>
      <c r="C50" s="4" t="s">
        <v>394</v>
      </c>
      <c r="D50" s="5" t="s">
        <v>395</v>
      </c>
      <c r="E50" s="15" t="s">
        <v>275</v>
      </c>
      <c r="F50" s="5"/>
      <c r="G50" s="44" t="str">
        <f t="shared" si="1"/>
        <v>06.01 Edukacja przedszkolna</v>
      </c>
    </row>
    <row r="51" spans="1:7" ht="129.6" x14ac:dyDescent="0.3">
      <c r="A51" s="14" t="s">
        <v>120</v>
      </c>
      <c r="B51" s="197" t="s">
        <v>393</v>
      </c>
      <c r="C51" s="4" t="s">
        <v>394</v>
      </c>
      <c r="D51" s="5" t="s">
        <v>396</v>
      </c>
      <c r="E51" s="15" t="s">
        <v>275</v>
      </c>
      <c r="F51" s="5"/>
      <c r="G51" s="44" t="str">
        <f t="shared" si="1"/>
        <v>06.02 Kształcenie ogólne</v>
      </c>
    </row>
    <row r="52" spans="1:7" ht="129.6" x14ac:dyDescent="0.3">
      <c r="A52" s="14" t="s">
        <v>397</v>
      </c>
      <c r="B52" s="197" t="s">
        <v>393</v>
      </c>
      <c r="C52" s="4" t="s">
        <v>394</v>
      </c>
      <c r="D52" s="5" t="s">
        <v>398</v>
      </c>
      <c r="E52" s="15" t="s">
        <v>275</v>
      </c>
      <c r="F52" s="5"/>
      <c r="G52" s="44" t="str">
        <f t="shared" si="1"/>
        <v>06.03 Kształcenie zawodowe</v>
      </c>
    </row>
    <row r="53" spans="1:7" ht="129.6" x14ac:dyDescent="0.3">
      <c r="A53" s="14" t="s">
        <v>122</v>
      </c>
      <c r="B53" s="197" t="s">
        <v>393</v>
      </c>
      <c r="C53" s="4" t="s">
        <v>394</v>
      </c>
      <c r="D53" s="5" t="s">
        <v>399</v>
      </c>
      <c r="E53" s="15" t="s">
        <v>275</v>
      </c>
      <c r="F53" s="5"/>
      <c r="G53" s="44" t="str">
        <f t="shared" si="1"/>
        <v>06.04 Strategiczne projekty dla obszaru edukacji</v>
      </c>
    </row>
    <row r="54" spans="1:7" ht="129.6" x14ac:dyDescent="0.3">
      <c r="A54" s="14" t="s">
        <v>125</v>
      </c>
      <c r="B54" s="197" t="s">
        <v>393</v>
      </c>
      <c r="C54" s="4" t="s">
        <v>394</v>
      </c>
      <c r="D54" s="5" t="s">
        <v>400</v>
      </c>
      <c r="E54" s="15" t="s">
        <v>275</v>
      </c>
      <c r="F54" s="5"/>
      <c r="G54" s="44" t="str">
        <f t="shared" si="1"/>
        <v>06.05 Wsparcie edukacyjne społeczności objetych LSR</v>
      </c>
    </row>
    <row r="55" spans="1:7" ht="129.6" x14ac:dyDescent="0.3">
      <c r="A55" s="14" t="s">
        <v>128</v>
      </c>
      <c r="B55" s="197" t="s">
        <v>401</v>
      </c>
      <c r="C55" s="4" t="s">
        <v>402</v>
      </c>
      <c r="D55" s="5" t="s">
        <v>403</v>
      </c>
      <c r="E55" s="15" t="s">
        <v>108</v>
      </c>
      <c r="F55" s="5"/>
      <c r="G55" s="44" t="str">
        <f t="shared" si="1"/>
        <v>06.06 Kształcenie osób dorosłych - EFS+</v>
      </c>
    </row>
    <row r="56" spans="1:7" ht="129.6" x14ac:dyDescent="0.3">
      <c r="A56" s="14" t="s">
        <v>130</v>
      </c>
      <c r="B56" s="197" t="s">
        <v>401</v>
      </c>
      <c r="C56" s="4" t="s">
        <v>402</v>
      </c>
      <c r="D56" s="5" t="s">
        <v>404</v>
      </c>
      <c r="E56" s="15" t="s">
        <v>108</v>
      </c>
      <c r="F56" s="5"/>
      <c r="G56" s="44" t="str">
        <f t="shared" si="1"/>
        <v>06.07 Upskilling pathways - RLKS</v>
      </c>
    </row>
    <row r="57" spans="1:7" ht="129.6" x14ac:dyDescent="0.3">
      <c r="A57" s="14" t="s">
        <v>405</v>
      </c>
      <c r="B57" s="197" t="s">
        <v>401</v>
      </c>
      <c r="C57" s="4" t="s">
        <v>402</v>
      </c>
      <c r="D57" s="5" t="s">
        <v>406</v>
      </c>
      <c r="E57" s="15" t="s">
        <v>108</v>
      </c>
      <c r="F57" s="5"/>
      <c r="G57" s="44" t="str">
        <f t="shared" si="1"/>
        <v>06.08 Upskilling pathways</v>
      </c>
    </row>
    <row r="58" spans="1:7" ht="129.6" x14ac:dyDescent="0.3">
      <c r="A58" s="14" t="s">
        <v>132</v>
      </c>
      <c r="B58" s="197" t="s">
        <v>401</v>
      </c>
      <c r="C58" s="4" t="s">
        <v>402</v>
      </c>
      <c r="D58" s="5" t="s">
        <v>407</v>
      </c>
      <c r="E58" s="15" t="s">
        <v>108</v>
      </c>
      <c r="F58" s="5"/>
      <c r="G58" s="44" t="str">
        <f t="shared" si="1"/>
        <v>06.09 Lokalne Ośrodki Wiedzy i Edukacji - LOWE</v>
      </c>
    </row>
    <row r="59" spans="1:7" ht="72" x14ac:dyDescent="0.3">
      <c r="A59" s="12" t="s">
        <v>408</v>
      </c>
      <c r="B59" s="197" t="s">
        <v>409</v>
      </c>
      <c r="C59" s="4" t="s">
        <v>410</v>
      </c>
      <c r="D59" s="5" t="s">
        <v>411</v>
      </c>
      <c r="E59" s="15" t="s">
        <v>275</v>
      </c>
      <c r="F59" s="5"/>
      <c r="G59" s="44" t="str">
        <f t="shared" si="1"/>
        <v>07.01 Ekonomia społeczna</v>
      </c>
    </row>
    <row r="60" spans="1:7" ht="72" x14ac:dyDescent="0.3">
      <c r="A60" s="12" t="s">
        <v>412</v>
      </c>
      <c r="B60" s="197" t="s">
        <v>409</v>
      </c>
      <c r="C60" s="4" t="s">
        <v>410</v>
      </c>
      <c r="D60" s="5" t="s">
        <v>413</v>
      </c>
      <c r="E60" s="15" t="s">
        <v>275</v>
      </c>
      <c r="F60" s="5"/>
      <c r="G60" s="44" t="str">
        <f t="shared" si="1"/>
        <v>07.02 Aktywna integracja</v>
      </c>
    </row>
    <row r="61" spans="1:7" ht="43.2" x14ac:dyDescent="0.3">
      <c r="A61" s="12" t="s">
        <v>414</v>
      </c>
      <c r="B61" s="197" t="s">
        <v>415</v>
      </c>
      <c r="C61" s="4" t="s">
        <v>416</v>
      </c>
      <c r="D61" s="5" t="s">
        <v>417</v>
      </c>
      <c r="E61" s="15" t="s">
        <v>108</v>
      </c>
      <c r="F61" s="5"/>
      <c r="G61" s="44" t="str">
        <f t="shared" si="1"/>
        <v>07.03 Integracja społeczno - gospodarcza cudzoziemców</v>
      </c>
    </row>
    <row r="62" spans="1:7" ht="158.4" x14ac:dyDescent="0.3">
      <c r="A62" s="14" t="s">
        <v>418</v>
      </c>
      <c r="B62" s="197" t="s">
        <v>419</v>
      </c>
      <c r="C62" s="4" t="s">
        <v>420</v>
      </c>
      <c r="D62" s="5" t="s">
        <v>421</v>
      </c>
      <c r="E62" s="15" t="s">
        <v>275</v>
      </c>
      <c r="F62" s="5"/>
      <c r="G62" s="44" t="str">
        <f t="shared" si="1"/>
        <v>07.04 Usługi społeczne</v>
      </c>
    </row>
    <row r="63" spans="1:7" ht="158.4" x14ac:dyDescent="0.3">
      <c r="A63" s="14" t="s">
        <v>422</v>
      </c>
      <c r="B63" s="197" t="s">
        <v>419</v>
      </c>
      <c r="C63" s="4" t="s">
        <v>420</v>
      </c>
      <c r="D63" s="5" t="s">
        <v>423</v>
      </c>
      <c r="E63" s="15" t="s">
        <v>275</v>
      </c>
      <c r="F63" s="5"/>
      <c r="G63" s="44" t="str">
        <f t="shared" si="1"/>
        <v>07.05 Strategiczne projekty dla obszaru usług społecznych</v>
      </c>
    </row>
    <row r="64" spans="1:7" ht="158.4" x14ac:dyDescent="0.3">
      <c r="A64" s="14" t="s">
        <v>135</v>
      </c>
      <c r="B64" s="197" t="s">
        <v>419</v>
      </c>
      <c r="C64" s="4" t="s">
        <v>420</v>
      </c>
      <c r="D64" s="5" t="s">
        <v>424</v>
      </c>
      <c r="E64" s="15" t="s">
        <v>275</v>
      </c>
      <c r="F64" s="5"/>
      <c r="G64" s="44" t="str">
        <f t="shared" si="1"/>
        <v>07.06 Ochrona zdrowia</v>
      </c>
    </row>
    <row r="65" spans="1:7" ht="72" x14ac:dyDescent="0.3">
      <c r="A65" s="14" t="s">
        <v>425</v>
      </c>
      <c r="B65" s="197" t="s">
        <v>426</v>
      </c>
      <c r="C65" s="4" t="s">
        <v>427</v>
      </c>
      <c r="D65" s="5" t="s">
        <v>428</v>
      </c>
      <c r="E65" s="15" t="s">
        <v>275</v>
      </c>
      <c r="F65" s="5"/>
      <c r="G65" s="44" t="str">
        <f t="shared" si="1"/>
        <v>07.07 Wsparcie rodziny, dzieci i młodzieży oraz deinstytucjonalizacja pieczy zastępczej</v>
      </c>
    </row>
    <row r="66" spans="1:7" ht="43.2" x14ac:dyDescent="0.3">
      <c r="A66" s="14" t="s">
        <v>429</v>
      </c>
      <c r="B66" s="197" t="s">
        <v>426</v>
      </c>
      <c r="C66" s="4" t="s">
        <v>427</v>
      </c>
      <c r="D66" s="5" t="s">
        <v>430</v>
      </c>
      <c r="E66" s="15" t="s">
        <v>275</v>
      </c>
      <c r="F66" s="5"/>
      <c r="G66" s="44" t="str">
        <f t="shared" ref="G66:G97" si="2">CONCATENATE(A66," ",D66)</f>
        <v>07.08 Strategiczne projekty dla obszaru wsparcia rodziny</v>
      </c>
    </row>
    <row r="67" spans="1:7" ht="72" x14ac:dyDescent="0.3">
      <c r="A67" s="14" t="s">
        <v>138</v>
      </c>
      <c r="B67" s="197" t="s">
        <v>426</v>
      </c>
      <c r="C67" s="4" t="s">
        <v>427</v>
      </c>
      <c r="D67" s="5" t="s">
        <v>431</v>
      </c>
      <c r="E67" s="15" t="s">
        <v>275</v>
      </c>
      <c r="F67" s="5"/>
      <c r="G67" s="44" t="str">
        <f t="shared" si="2"/>
        <v>07.09 Usługi dla osób w kryzysie bezdomności lub  dotkniętych wykluczeniem z dostępu do mieszkań</v>
      </c>
    </row>
    <row r="68" spans="1:7" ht="43.2" x14ac:dyDescent="0.3">
      <c r="A68" s="14" t="s">
        <v>140</v>
      </c>
      <c r="B68" s="197" t="s">
        <v>426</v>
      </c>
      <c r="C68" s="4" t="s">
        <v>427</v>
      </c>
      <c r="D68" s="5" t="s">
        <v>432</v>
      </c>
      <c r="E68" s="15" t="s">
        <v>275</v>
      </c>
      <c r="F68" s="5"/>
      <c r="G68" s="44" t="str">
        <f t="shared" si="2"/>
        <v>07.10 Wsparcie społeczności objętych LSR</v>
      </c>
    </row>
    <row r="69" spans="1:7" ht="72" x14ac:dyDescent="0.3">
      <c r="A69" s="14" t="s">
        <v>142</v>
      </c>
      <c r="B69" s="197" t="s">
        <v>426</v>
      </c>
      <c r="C69" s="4" t="s">
        <v>427</v>
      </c>
      <c r="D69" s="5" t="s">
        <v>433</v>
      </c>
      <c r="E69" s="15" t="s">
        <v>275</v>
      </c>
      <c r="F69" s="5"/>
      <c r="G69" s="44" t="str">
        <f t="shared" si="2"/>
        <v>07.11 Wsparcie społeczności mniejszościowych, w tym społeczności romskich</v>
      </c>
    </row>
    <row r="70" spans="1:7" ht="43.2" x14ac:dyDescent="0.3">
      <c r="A70" s="14" t="s">
        <v>144</v>
      </c>
      <c r="B70" s="197" t="s">
        <v>426</v>
      </c>
      <c r="C70" s="4" t="s">
        <v>427</v>
      </c>
      <c r="D70" s="5" t="s">
        <v>434</v>
      </c>
      <c r="E70" s="15" t="s">
        <v>275</v>
      </c>
      <c r="F70" s="5"/>
      <c r="G70" s="44" t="str">
        <f t="shared" si="2"/>
        <v>07.12 Rozwój dialogu obywatelskiego</v>
      </c>
    </row>
    <row r="71" spans="1:7" ht="86.4" x14ac:dyDescent="0.3">
      <c r="A71" s="12" t="s">
        <v>148</v>
      </c>
      <c r="B71" s="197" t="s">
        <v>435</v>
      </c>
      <c r="C71" s="4" t="s">
        <v>436</v>
      </c>
      <c r="D71" s="6" t="s">
        <v>437</v>
      </c>
      <c r="E71" s="15" t="s">
        <v>60</v>
      </c>
      <c r="F71" s="5"/>
      <c r="G71" s="44" t="str">
        <f t="shared" si="2"/>
        <v>08.01 Infrastruktura szkolnictwa wyższego</v>
      </c>
    </row>
    <row r="72" spans="1:7" ht="86.4" x14ac:dyDescent="0.3">
      <c r="A72" s="12" t="s">
        <v>438</v>
      </c>
      <c r="B72" s="197" t="s">
        <v>435</v>
      </c>
      <c r="C72" s="4" t="s">
        <v>436</v>
      </c>
      <c r="D72" s="6" t="s">
        <v>439</v>
      </c>
      <c r="E72" s="15" t="s">
        <v>60</v>
      </c>
      <c r="F72" s="5"/>
      <c r="G72" s="44" t="str">
        <f t="shared" si="2"/>
        <v>08.02 Edukacja włączająca</v>
      </c>
    </row>
    <row r="73" spans="1:7" ht="86.4" x14ac:dyDescent="0.3">
      <c r="A73" s="12" t="s">
        <v>440</v>
      </c>
      <c r="B73" s="197" t="s">
        <v>435</v>
      </c>
      <c r="C73" s="4" t="s">
        <v>436</v>
      </c>
      <c r="D73" s="6" t="s">
        <v>441</v>
      </c>
      <c r="E73" s="15" t="s">
        <v>60</v>
      </c>
      <c r="F73" s="5"/>
      <c r="G73" s="44" t="str">
        <f t="shared" si="2"/>
        <v>08.03 Infrastruktura szkolnictwa zawodowego - ZIT</v>
      </c>
    </row>
    <row r="74" spans="1:7" ht="86.4" x14ac:dyDescent="0.3">
      <c r="A74" s="12" t="s">
        <v>155</v>
      </c>
      <c r="B74" s="197" t="s">
        <v>442</v>
      </c>
      <c r="C74" s="4" t="s">
        <v>443</v>
      </c>
      <c r="D74" s="6" t="s">
        <v>444</v>
      </c>
      <c r="E74" s="15" t="s">
        <v>60</v>
      </c>
      <c r="F74" s="5"/>
      <c r="G74" s="44" t="str">
        <f t="shared" si="2"/>
        <v>08.04 Infrastruktura usług społecznych</v>
      </c>
    </row>
    <row r="75" spans="1:7" ht="72" x14ac:dyDescent="0.3">
      <c r="A75" s="12" t="s">
        <v>158</v>
      </c>
      <c r="B75" s="197" t="s">
        <v>445</v>
      </c>
      <c r="C75" s="4" t="s">
        <v>446</v>
      </c>
      <c r="D75" s="6" t="s">
        <v>447</v>
      </c>
      <c r="E75" s="15" t="s">
        <v>60</v>
      </c>
      <c r="F75" s="5"/>
      <c r="G75" s="44" t="str">
        <f t="shared" si="2"/>
        <v>08.05 E-zdrowie</v>
      </c>
    </row>
    <row r="76" spans="1:7" ht="72" x14ac:dyDescent="0.3">
      <c r="A76" s="12" t="s">
        <v>161</v>
      </c>
      <c r="B76" s="197" t="s">
        <v>445</v>
      </c>
      <c r="C76" s="4" t="s">
        <v>446</v>
      </c>
      <c r="D76" s="5" t="s">
        <v>448</v>
      </c>
      <c r="E76" s="15" t="s">
        <v>60</v>
      </c>
      <c r="F76" s="5"/>
      <c r="G76" s="44" t="str">
        <f t="shared" si="2"/>
        <v>08.06 Infrastruktura ochrony zdrowia</v>
      </c>
    </row>
    <row r="77" spans="1:7" ht="57.6" x14ac:dyDescent="0.3">
      <c r="A77" s="12" t="s">
        <v>449</v>
      </c>
      <c r="B77" s="197" t="s">
        <v>450</v>
      </c>
      <c r="C77" s="4" t="s">
        <v>451</v>
      </c>
      <c r="D77" s="5" t="s">
        <v>452</v>
      </c>
      <c r="E77" s="15" t="s">
        <v>60</v>
      </c>
      <c r="F77" s="5"/>
      <c r="G77" s="44" t="str">
        <f t="shared" si="2"/>
        <v>08.07 Kultura i turystyka szczebla regionalnego</v>
      </c>
    </row>
    <row r="78" spans="1:7" ht="72" x14ac:dyDescent="0.3">
      <c r="A78" s="12" t="s">
        <v>165</v>
      </c>
      <c r="B78" s="197" t="s">
        <v>453</v>
      </c>
      <c r="C78" s="4" t="s">
        <v>454</v>
      </c>
      <c r="D78" s="6" t="s">
        <v>455</v>
      </c>
      <c r="E78" s="15" t="s">
        <v>60</v>
      </c>
      <c r="F78" s="5"/>
      <c r="G78" s="44" t="str">
        <f t="shared" si="2"/>
        <v>09.01 Zwiększenie roli kultury i turystyki w rozwoju subregionalnym - ZIT</v>
      </c>
    </row>
    <row r="79" spans="1:7" ht="72" x14ac:dyDescent="0.3">
      <c r="A79" s="12" t="s">
        <v>172</v>
      </c>
      <c r="B79" s="197" t="s">
        <v>453</v>
      </c>
      <c r="C79" s="4" t="s">
        <v>454</v>
      </c>
      <c r="D79" s="6" t="s">
        <v>456</v>
      </c>
      <c r="E79" s="15" t="s">
        <v>275</v>
      </c>
      <c r="F79" s="5"/>
      <c r="G79" s="44" t="str">
        <f t="shared" si="2"/>
        <v>09.02 Rozwój ZIT</v>
      </c>
    </row>
    <row r="80" spans="1:7" ht="72" x14ac:dyDescent="0.3">
      <c r="A80" s="12" t="s">
        <v>175</v>
      </c>
      <c r="B80" s="197" t="s">
        <v>453</v>
      </c>
      <c r="C80" s="4" t="s">
        <v>454</v>
      </c>
      <c r="D80" s="6" t="s">
        <v>457</v>
      </c>
      <c r="E80" s="15" t="s">
        <v>60</v>
      </c>
      <c r="F80" s="5"/>
      <c r="G80" s="44" t="str">
        <f t="shared" si="2"/>
        <v>09.03 Rewitalizacja obszarów miejskich</v>
      </c>
    </row>
    <row r="81" spans="1:7" ht="72" x14ac:dyDescent="0.3">
      <c r="A81" s="12" t="s">
        <v>458</v>
      </c>
      <c r="B81" s="197" t="s">
        <v>453</v>
      </c>
      <c r="C81" s="4" t="s">
        <v>454</v>
      </c>
      <c r="D81" s="6" t="s">
        <v>459</v>
      </c>
      <c r="E81" s="15" t="s">
        <v>279</v>
      </c>
      <c r="F81" s="5"/>
      <c r="G81" s="44" t="str">
        <f t="shared" si="2"/>
        <v>09.04 Rewitalizacja obszarów miejskich (IF)</v>
      </c>
    </row>
    <row r="82" spans="1:7" ht="86.4" x14ac:dyDescent="0.3">
      <c r="A82" s="195" t="s">
        <v>178</v>
      </c>
      <c r="B82" s="197" t="s">
        <v>460</v>
      </c>
      <c r="C82" s="4" t="s">
        <v>461</v>
      </c>
      <c r="D82" s="6" t="s">
        <v>462</v>
      </c>
      <c r="E82" s="15" t="s">
        <v>60</v>
      </c>
      <c r="F82" s="5"/>
      <c r="G82" s="44" t="str">
        <f t="shared" si="2"/>
        <v>09.05 Rewitalizacja obszarów wiejskich</v>
      </c>
    </row>
    <row r="83" spans="1:7" ht="109.2" x14ac:dyDescent="0.3">
      <c r="A83" s="12" t="s">
        <v>463</v>
      </c>
      <c r="B83" s="197" t="s">
        <v>464</v>
      </c>
      <c r="C83" s="4" t="s">
        <v>201</v>
      </c>
      <c r="D83" s="9" t="s">
        <v>465</v>
      </c>
      <c r="E83" s="15" t="s">
        <v>189</v>
      </c>
      <c r="F83" s="5"/>
      <c r="G83" s="44" t="str">
        <f t="shared" si="2"/>
        <v xml:space="preserve">10.01 Wykorzystanie terenów zdegradowanych  w celu rozwoju regionu poprzez inwestycje przedsiębiorstw </v>
      </c>
    </row>
    <row r="84" spans="1:7" ht="100.8" x14ac:dyDescent="0.3">
      <c r="A84" s="12" t="s">
        <v>466</v>
      </c>
      <c r="B84" s="197" t="s">
        <v>464</v>
      </c>
      <c r="C84" s="4" t="s">
        <v>201</v>
      </c>
      <c r="D84" s="6" t="s">
        <v>467</v>
      </c>
      <c r="E84" s="15" t="s">
        <v>189</v>
      </c>
      <c r="F84" s="5"/>
      <c r="G84" s="44" t="str">
        <f t="shared" si="2"/>
        <v>10.02 Badania, rozwój i innowacje w przedsiębiorstwach na rzecz transformacji</v>
      </c>
    </row>
    <row r="85" spans="1:7" ht="100.8" x14ac:dyDescent="0.3">
      <c r="A85" s="12" t="s">
        <v>182</v>
      </c>
      <c r="B85" s="197" t="s">
        <v>464</v>
      </c>
      <c r="C85" s="4" t="s">
        <v>201</v>
      </c>
      <c r="D85" s="8" t="s">
        <v>186</v>
      </c>
      <c r="E85" s="15" t="s">
        <v>189</v>
      </c>
      <c r="F85" s="5"/>
      <c r="G85" s="44" t="str">
        <f t="shared" si="2"/>
        <v>10.03 Wsparcie MŚP na rzecz transformacji</v>
      </c>
    </row>
    <row r="86" spans="1:7" ht="100.8" x14ac:dyDescent="0.3">
      <c r="A86" s="12" t="s">
        <v>193</v>
      </c>
      <c r="B86" s="197" t="s">
        <v>464</v>
      </c>
      <c r="C86" s="4" t="s">
        <v>201</v>
      </c>
      <c r="D86" s="5" t="s">
        <v>194</v>
      </c>
      <c r="E86" s="15" t="s">
        <v>189</v>
      </c>
      <c r="F86" s="5"/>
      <c r="G86" s="44" t="str">
        <f t="shared" si="2"/>
        <v>10.04 Wsparcie dużych przedsiębiorstw na rzecz transformacji</v>
      </c>
    </row>
    <row r="87" spans="1:7" ht="100.8" x14ac:dyDescent="0.3">
      <c r="A87" s="12" t="s">
        <v>468</v>
      </c>
      <c r="B87" s="197" t="s">
        <v>464</v>
      </c>
      <c r="C87" s="4" t="s">
        <v>201</v>
      </c>
      <c r="D87" s="5" t="s">
        <v>469</v>
      </c>
      <c r="E87" s="15" t="s">
        <v>60</v>
      </c>
      <c r="F87" s="5"/>
      <c r="G87" s="44" t="str">
        <f t="shared" si="2"/>
        <v>10.05 Innowacyjna infrastruktura wspierająca gospodarkę.</v>
      </c>
    </row>
    <row r="88" spans="1:7" ht="100.8" x14ac:dyDescent="0.3">
      <c r="A88" s="12" t="s">
        <v>197</v>
      </c>
      <c r="B88" s="197" t="s">
        <v>464</v>
      </c>
      <c r="C88" s="4" t="s">
        <v>201</v>
      </c>
      <c r="D88" s="5" t="s">
        <v>470</v>
      </c>
      <c r="E88" s="15" t="s">
        <v>60</v>
      </c>
      <c r="F88" s="5"/>
      <c r="G88" s="44" t="str">
        <f t="shared" si="2"/>
        <v>10.06 Rozwój energetyki rozproszonej opartej o odnawialne źródła energii </v>
      </c>
    </row>
    <row r="89" spans="1:7" ht="100.8" x14ac:dyDescent="0.3">
      <c r="A89" s="12" t="s">
        <v>204</v>
      </c>
      <c r="B89" s="197" t="s">
        <v>464</v>
      </c>
      <c r="C89" s="4" t="s">
        <v>201</v>
      </c>
      <c r="D89" s="5" t="s">
        <v>205</v>
      </c>
      <c r="E89" s="15" t="s">
        <v>60</v>
      </c>
      <c r="F89" s="5"/>
      <c r="G89" s="44" t="str">
        <f t="shared" si="2"/>
        <v>10.07 Rekultywacja terenów poprzemysłowych, zdewastowanych, zdegradowanych na cele środowiskowe</v>
      </c>
    </row>
    <row r="90" spans="1:7" ht="100.8" x14ac:dyDescent="0.3">
      <c r="A90" s="12" t="s">
        <v>212</v>
      </c>
      <c r="B90" s="197" t="s">
        <v>464</v>
      </c>
      <c r="C90" s="4" t="s">
        <v>201</v>
      </c>
      <c r="D90" s="5" t="s">
        <v>471</v>
      </c>
      <c r="E90" s="15" t="s">
        <v>60</v>
      </c>
      <c r="F90" s="5"/>
      <c r="G90" s="44" t="str">
        <f t="shared" si="2"/>
        <v>10.08 Poprawa  stosunków wodnych  na obszarze oddziaływania kopalń </v>
      </c>
    </row>
    <row r="91" spans="1:7" ht="115.2" x14ac:dyDescent="0.3">
      <c r="A91" s="12" t="s">
        <v>215</v>
      </c>
      <c r="B91" s="197" t="s">
        <v>464</v>
      </c>
      <c r="C91" s="4" t="s">
        <v>201</v>
      </c>
      <c r="D91" s="5" t="s">
        <v>472</v>
      </c>
      <c r="E91" s="15" t="s">
        <v>60</v>
      </c>
      <c r="F91" s="5"/>
      <c r="G91" s="44" t="str">
        <f t="shared" si="2"/>
        <v>10.09 Ponowne wykorzystanie terenów poprzemysłowych, zdewastowanych, zdegradowanych na cele rozwojowe regionu.</v>
      </c>
    </row>
    <row r="92" spans="1:7" ht="100.8" x14ac:dyDescent="0.3">
      <c r="A92" s="12" t="s">
        <v>473</v>
      </c>
      <c r="B92" s="197" t="s">
        <v>464</v>
      </c>
      <c r="C92" s="4" t="s">
        <v>201</v>
      </c>
      <c r="D92" s="5" t="s">
        <v>474</v>
      </c>
      <c r="E92" s="15" t="s">
        <v>60</v>
      </c>
      <c r="F92" s="5"/>
      <c r="G92" s="44" t="str">
        <f t="shared" si="2"/>
        <v>10.10 Wsparcie planowania transformacji</v>
      </c>
    </row>
    <row r="93" spans="1:7" ht="100.8" x14ac:dyDescent="0.3">
      <c r="A93" s="12" t="s">
        <v>475</v>
      </c>
      <c r="B93" s="197" t="s">
        <v>464</v>
      </c>
      <c r="C93" s="4" t="s">
        <v>201</v>
      </c>
      <c r="D93" s="5" t="s">
        <v>476</v>
      </c>
      <c r="E93" s="15" t="s">
        <v>60</v>
      </c>
      <c r="F93" s="5"/>
      <c r="G93" s="44" t="str">
        <f t="shared" si="2"/>
        <v>10.11 Systemowe zarządzanie terenami poprzemysłowymi </v>
      </c>
    </row>
    <row r="94" spans="1:7" ht="100.8" x14ac:dyDescent="0.3">
      <c r="A94" s="12" t="s">
        <v>219</v>
      </c>
      <c r="B94" s="197" t="s">
        <v>464</v>
      </c>
      <c r="C94" s="4" t="s">
        <v>201</v>
      </c>
      <c r="D94" s="5" t="s">
        <v>477</v>
      </c>
      <c r="E94" s="15" t="s">
        <v>60</v>
      </c>
      <c r="F94" s="5"/>
      <c r="G94" s="44" t="str">
        <f t="shared" si="2"/>
        <v>10.12 Poprawa mobilności mieszkańców regionu i spójności transportowej podregionów górniczych</v>
      </c>
    </row>
    <row r="95" spans="1:7" ht="100.8" x14ac:dyDescent="0.3">
      <c r="A95" s="12" t="s">
        <v>224</v>
      </c>
      <c r="B95" s="197" t="s">
        <v>464</v>
      </c>
      <c r="C95" s="4" t="s">
        <v>201</v>
      </c>
      <c r="D95" s="5" t="s">
        <v>478</v>
      </c>
      <c r="E95" s="15" t="s">
        <v>60</v>
      </c>
      <c r="F95" s="5"/>
      <c r="G95" s="44" t="str">
        <f t="shared" si="2"/>
        <v>10.13 Infrastruktura szkolnictwa wyższego na potrzeby transformacji</v>
      </c>
    </row>
    <row r="96" spans="1:7" ht="100.8" x14ac:dyDescent="0.3">
      <c r="A96" s="12" t="s">
        <v>228</v>
      </c>
      <c r="B96" s="197" t="s">
        <v>464</v>
      </c>
      <c r="C96" s="4" t="s">
        <v>201</v>
      </c>
      <c r="D96" s="5" t="s">
        <v>479</v>
      </c>
      <c r="E96" s="15" t="s">
        <v>60</v>
      </c>
      <c r="F96" s="5"/>
      <c r="G96" s="44" t="str">
        <f t="shared" si="2"/>
        <v>10.14 Infrastruktura kształcenia zawodowego</v>
      </c>
    </row>
    <row r="97" spans="1:7" ht="100.8" x14ac:dyDescent="0.3">
      <c r="A97" s="12" t="s">
        <v>480</v>
      </c>
      <c r="B97" s="197" t="s">
        <v>464</v>
      </c>
      <c r="C97" s="4" t="s">
        <v>201</v>
      </c>
      <c r="D97" s="5" t="s">
        <v>481</v>
      </c>
      <c r="E97" s="15" t="s">
        <v>60</v>
      </c>
      <c r="F97" s="5"/>
      <c r="G97" s="44" t="str">
        <f t="shared" si="2"/>
        <v>10.15 Wykorzystanie endogenicznych potencjałów podregionów górniczych</v>
      </c>
    </row>
    <row r="98" spans="1:7" ht="100.8" x14ac:dyDescent="0.3">
      <c r="A98" s="12" t="s">
        <v>482</v>
      </c>
      <c r="B98" s="197" t="s">
        <v>464</v>
      </c>
      <c r="C98" s="4" t="s">
        <v>201</v>
      </c>
      <c r="D98" s="5" t="s">
        <v>483</v>
      </c>
      <c r="E98" s="15" t="s">
        <v>108</v>
      </c>
      <c r="F98" s="5"/>
      <c r="G98" s="44" t="str">
        <f t="shared" ref="G98:G111" si="3">CONCATENATE(A98," ",D98)</f>
        <v>10.16 Rozwój przedsiębiorczości  FST</v>
      </c>
    </row>
    <row r="99" spans="1:7" ht="100.8" x14ac:dyDescent="0.3">
      <c r="A99" s="12" t="s">
        <v>484</v>
      </c>
      <c r="B99" s="197" t="s">
        <v>464</v>
      </c>
      <c r="C99" s="4" t="s">
        <v>201</v>
      </c>
      <c r="D99" s="5" t="s">
        <v>485</v>
      </c>
      <c r="E99" s="15" t="s">
        <v>108</v>
      </c>
      <c r="F99" s="5"/>
      <c r="G99" s="44" t="str">
        <f t="shared" si="3"/>
        <v>10.17 Kształcenie osób dorosłych - FST</v>
      </c>
    </row>
    <row r="100" spans="1:7" ht="100.8" x14ac:dyDescent="0.3">
      <c r="A100" s="12" t="s">
        <v>233</v>
      </c>
      <c r="B100" s="197" t="s">
        <v>464</v>
      </c>
      <c r="C100" s="4" t="s">
        <v>201</v>
      </c>
      <c r="D100" s="5" t="s">
        <v>486</v>
      </c>
      <c r="E100" s="15" t="s">
        <v>108</v>
      </c>
      <c r="F100" s="5"/>
      <c r="G100" s="44" t="str">
        <f t="shared" si="3"/>
        <v xml:space="preserve">10.18 Redeployment </v>
      </c>
    </row>
    <row r="101" spans="1:7" ht="100.8" x14ac:dyDescent="0.3">
      <c r="A101" s="12" t="s">
        <v>487</v>
      </c>
      <c r="B101" s="197" t="s">
        <v>464</v>
      </c>
      <c r="C101" s="4" t="s">
        <v>201</v>
      </c>
      <c r="D101" s="5" t="s">
        <v>488</v>
      </c>
      <c r="E101" s="15" t="s">
        <v>108</v>
      </c>
      <c r="F101" s="5"/>
      <c r="G101" s="44" t="str">
        <f t="shared" si="3"/>
        <v>10.19 Outpalcement FST</v>
      </c>
    </row>
    <row r="102" spans="1:7" ht="100.8" x14ac:dyDescent="0.3">
      <c r="A102" s="12" t="s">
        <v>489</v>
      </c>
      <c r="B102" s="197" t="s">
        <v>464</v>
      </c>
      <c r="C102" s="4" t="s">
        <v>201</v>
      </c>
      <c r="D102" s="5" t="s">
        <v>490</v>
      </c>
      <c r="E102" s="15" t="s">
        <v>108</v>
      </c>
      <c r="F102" s="5"/>
      <c r="G102" s="44" t="str">
        <f t="shared" si="3"/>
        <v>10.20 Wsparcie na założenie działalności gospodarczej</v>
      </c>
    </row>
    <row r="103" spans="1:7" ht="100.8" x14ac:dyDescent="0.3">
      <c r="A103" s="12" t="s">
        <v>235</v>
      </c>
      <c r="B103" s="197" t="s">
        <v>464</v>
      </c>
      <c r="C103" s="4" t="s">
        <v>201</v>
      </c>
      <c r="D103" s="5" t="s">
        <v>491</v>
      </c>
      <c r="E103" s="15" t="s">
        <v>108</v>
      </c>
      <c r="F103" s="5"/>
      <c r="G103" s="44" t="str">
        <f t="shared" si="3"/>
        <v>10.21 Wsparcie pracowników zaangażowanych w proces transformacji</v>
      </c>
    </row>
    <row r="104" spans="1:7" ht="100.8" x14ac:dyDescent="0.3">
      <c r="A104" s="12" t="s">
        <v>492</v>
      </c>
      <c r="B104" s="197" t="s">
        <v>464</v>
      </c>
      <c r="C104" s="4" t="s">
        <v>201</v>
      </c>
      <c r="D104" s="5" t="s">
        <v>493</v>
      </c>
      <c r="E104" s="15" t="s">
        <v>108</v>
      </c>
      <c r="F104" s="5"/>
      <c r="G104" s="44" t="str">
        <f t="shared" si="3"/>
        <v>10.22 Regionalne Obserwatorim Procesu Transformacji - FST</v>
      </c>
    </row>
    <row r="105" spans="1:7" ht="100.8" x14ac:dyDescent="0.3">
      <c r="A105" s="12" t="s">
        <v>494</v>
      </c>
      <c r="B105" s="197" t="s">
        <v>464</v>
      </c>
      <c r="C105" s="4" t="s">
        <v>201</v>
      </c>
      <c r="D105" s="5" t="s">
        <v>495</v>
      </c>
      <c r="E105" s="15" t="s">
        <v>275</v>
      </c>
      <c r="F105" s="5"/>
      <c r="G105" s="44" t="str">
        <f t="shared" si="3"/>
        <v>10.23 Edukacja zawodowa w procesie sprawiedliwej transformacji regionu</v>
      </c>
    </row>
    <row r="106" spans="1:7" ht="100.8" x14ac:dyDescent="0.3">
      <c r="A106" s="12" t="s">
        <v>496</v>
      </c>
      <c r="B106" s="197" t="s">
        <v>464</v>
      </c>
      <c r="C106" s="4" t="s">
        <v>201</v>
      </c>
      <c r="D106" s="5" t="s">
        <v>497</v>
      </c>
      <c r="E106" s="15" t="s">
        <v>275</v>
      </c>
      <c r="F106" s="5"/>
      <c r="G106" s="44" t="str">
        <f t="shared" si="3"/>
        <v>10.24 Włączenie społeczne - wzmocnienie procesu sprawiedliwej transformacji</v>
      </c>
    </row>
    <row r="107" spans="1:7" ht="100.8" x14ac:dyDescent="0.3">
      <c r="A107" s="12" t="s">
        <v>498</v>
      </c>
      <c r="B107" s="197" t="s">
        <v>464</v>
      </c>
      <c r="C107" s="4" t="s">
        <v>201</v>
      </c>
      <c r="D107" s="7" t="s">
        <v>499</v>
      </c>
      <c r="E107" s="15" t="s">
        <v>275</v>
      </c>
      <c r="F107" s="5"/>
      <c r="G107" s="44" t="str">
        <f t="shared" si="3"/>
        <v>10.25 Rozwój kształcenia wyższego zgodnie z potrzebami zielonej gospodarki</v>
      </c>
    </row>
    <row r="108" spans="1:7" ht="100.8" x14ac:dyDescent="0.3">
      <c r="A108" s="12" t="s">
        <v>500</v>
      </c>
      <c r="B108" s="197" t="s">
        <v>464</v>
      </c>
      <c r="C108" s="4" t="s">
        <v>201</v>
      </c>
      <c r="D108" s="6" t="s">
        <v>501</v>
      </c>
      <c r="E108" s="15" t="s">
        <v>275</v>
      </c>
      <c r="F108" s="5"/>
      <c r="G108" s="44" t="s">
        <v>502</v>
      </c>
    </row>
    <row r="109" spans="1:7" ht="57.6" x14ac:dyDescent="0.3">
      <c r="A109" s="12" t="s">
        <v>503</v>
      </c>
      <c r="B109" s="197" t="s">
        <v>504</v>
      </c>
      <c r="C109" s="4" t="s">
        <v>505</v>
      </c>
      <c r="D109" s="6" t="s">
        <v>506</v>
      </c>
      <c r="E109" s="15" t="s">
        <v>279</v>
      </c>
      <c r="F109" s="5"/>
      <c r="G109" s="44" t="str">
        <f t="shared" si="3"/>
        <v>11.1 Pomoc Technicza EFRR</v>
      </c>
    </row>
    <row r="110" spans="1:7" ht="57.6" x14ac:dyDescent="0.3">
      <c r="A110" s="12" t="s">
        <v>507</v>
      </c>
      <c r="B110" s="197" t="s">
        <v>504</v>
      </c>
      <c r="C110" s="4" t="s">
        <v>505</v>
      </c>
      <c r="D110" s="6" t="s">
        <v>508</v>
      </c>
      <c r="E110" s="15" t="s">
        <v>279</v>
      </c>
      <c r="F110" s="5"/>
      <c r="G110" s="44" t="str">
        <f t="shared" si="3"/>
        <v>12.1 Pomoc Technicza EFS+</v>
      </c>
    </row>
    <row r="111" spans="1:7" ht="57.6" x14ac:dyDescent="0.3">
      <c r="A111" s="193" t="s">
        <v>509</v>
      </c>
      <c r="B111" s="198" t="s">
        <v>504</v>
      </c>
      <c r="C111" s="20" t="s">
        <v>510</v>
      </c>
      <c r="D111" s="21" t="s">
        <v>511</v>
      </c>
      <c r="E111" s="22" t="s">
        <v>279</v>
      </c>
      <c r="F111" s="5"/>
      <c r="G111" s="44" t="str">
        <f t="shared" si="3"/>
        <v>13.01 Pomoc Technicza FST</v>
      </c>
    </row>
    <row r="112" spans="1:7" x14ac:dyDescent="0.3">
      <c r="A112"/>
      <c r="D112" s="3"/>
      <c r="E112" s="3"/>
      <c r="F112" s="3"/>
    </row>
    <row r="113" spans="1:6" x14ac:dyDescent="0.3">
      <c r="A113"/>
      <c r="D113" s="3"/>
      <c r="E113" s="3"/>
      <c r="F113" s="3"/>
    </row>
    <row r="114" spans="1:6" x14ac:dyDescent="0.3">
      <c r="A114"/>
      <c r="D114" s="3"/>
      <c r="E114" s="3"/>
      <c r="F114" s="3"/>
    </row>
    <row r="115" spans="1:6" x14ac:dyDescent="0.3">
      <c r="A115"/>
      <c r="D115" s="3"/>
      <c r="E115" s="3"/>
      <c r="F115" s="3"/>
    </row>
    <row r="116" spans="1:6" x14ac:dyDescent="0.3">
      <c r="A116"/>
      <c r="D116" s="3"/>
      <c r="E116" s="3"/>
      <c r="F116" s="3"/>
    </row>
    <row r="117" spans="1:6" x14ac:dyDescent="0.3">
      <c r="A117"/>
      <c r="D117" s="3"/>
      <c r="E117" s="3"/>
      <c r="F117" s="3"/>
    </row>
    <row r="118" spans="1:6" x14ac:dyDescent="0.3">
      <c r="A118"/>
      <c r="D118" s="3"/>
      <c r="E118" s="3"/>
      <c r="F118" s="3"/>
    </row>
    <row r="119" spans="1:6" x14ac:dyDescent="0.3">
      <c r="A119"/>
      <c r="D119" s="3"/>
      <c r="E119" s="3"/>
      <c r="F119" s="3"/>
    </row>
    <row r="120" spans="1:6" x14ac:dyDescent="0.3">
      <c r="A120"/>
      <c r="D120" s="3"/>
      <c r="E120" s="3"/>
      <c r="F120" s="3"/>
    </row>
    <row r="121" spans="1:6" x14ac:dyDescent="0.3">
      <c r="A121"/>
      <c r="D121" s="3"/>
      <c r="E121" s="3"/>
      <c r="F121" s="3"/>
    </row>
    <row r="122" spans="1:6" x14ac:dyDescent="0.3">
      <c r="A122"/>
      <c r="D122" s="3"/>
      <c r="E122" s="3"/>
      <c r="F122" s="3"/>
    </row>
    <row r="123" spans="1:6" x14ac:dyDescent="0.3">
      <c r="A123"/>
      <c r="D123" s="3"/>
      <c r="E123" s="3"/>
      <c r="F123" s="3"/>
    </row>
    <row r="124" spans="1:6" x14ac:dyDescent="0.3">
      <c r="A124"/>
      <c r="D124" s="3"/>
      <c r="E124" s="3"/>
      <c r="F124" s="3"/>
    </row>
    <row r="125" spans="1:6" x14ac:dyDescent="0.3">
      <c r="A125"/>
      <c r="D125" s="3"/>
      <c r="E125" s="3"/>
      <c r="F125" s="3"/>
    </row>
    <row r="126" spans="1:6" x14ac:dyDescent="0.3">
      <c r="A126"/>
      <c r="D126" s="3"/>
      <c r="E126" s="3"/>
      <c r="F126" s="3"/>
    </row>
    <row r="127" spans="1:6" x14ac:dyDescent="0.3">
      <c r="A127"/>
      <c r="D127" s="3"/>
      <c r="E127" s="3"/>
      <c r="F127" s="3"/>
    </row>
    <row r="128" spans="1:6" x14ac:dyDescent="0.3">
      <c r="A128"/>
      <c r="D128" s="3"/>
      <c r="E128" s="3"/>
      <c r="F128" s="3"/>
    </row>
    <row r="129" spans="1:6" x14ac:dyDescent="0.3">
      <c r="A129"/>
      <c r="D129" s="3"/>
      <c r="E129" s="3"/>
      <c r="F129" s="3"/>
    </row>
    <row r="130" spans="1:6" x14ac:dyDescent="0.3">
      <c r="A130"/>
      <c r="D130" s="3"/>
      <c r="E130" s="3"/>
      <c r="F130" s="3"/>
    </row>
    <row r="131" spans="1:6" x14ac:dyDescent="0.3">
      <c r="A131"/>
      <c r="D131" s="3"/>
      <c r="E131" s="3"/>
      <c r="F131" s="3"/>
    </row>
    <row r="132" spans="1:6" x14ac:dyDescent="0.3">
      <c r="A132"/>
      <c r="D132" s="3"/>
      <c r="E132" s="3"/>
      <c r="F132" s="3"/>
    </row>
    <row r="133" spans="1:6" x14ac:dyDescent="0.3">
      <c r="A133"/>
      <c r="D133" s="3"/>
      <c r="E133" s="3"/>
      <c r="F133" s="3"/>
    </row>
    <row r="134" spans="1:6" x14ac:dyDescent="0.3">
      <c r="A134"/>
      <c r="D134" s="3"/>
      <c r="E134" s="3"/>
      <c r="F134" s="3"/>
    </row>
    <row r="135" spans="1:6" x14ac:dyDescent="0.3">
      <c r="A135"/>
      <c r="D135" s="3"/>
      <c r="E135" s="3"/>
      <c r="F135" s="3"/>
    </row>
    <row r="136" spans="1:6" x14ac:dyDescent="0.3">
      <c r="A136"/>
      <c r="D136" s="3"/>
      <c r="E136" s="3"/>
      <c r="F136" s="3"/>
    </row>
    <row r="137" spans="1:6" x14ac:dyDescent="0.3">
      <c r="A137"/>
      <c r="D137" s="3"/>
      <c r="E137" s="3"/>
      <c r="F137" s="3"/>
    </row>
    <row r="138" spans="1:6" x14ac:dyDescent="0.3">
      <c r="A138"/>
      <c r="D138" s="3"/>
      <c r="E138" s="3"/>
      <c r="F138" s="3"/>
    </row>
    <row r="139" spans="1:6" x14ac:dyDescent="0.3">
      <c r="A139"/>
      <c r="D139" s="3"/>
      <c r="E139" s="3"/>
      <c r="F139" s="3"/>
    </row>
    <row r="140" spans="1:6" x14ac:dyDescent="0.3">
      <c r="A140"/>
      <c r="D140" s="3"/>
      <c r="E140" s="3"/>
      <c r="F140" s="3"/>
    </row>
    <row r="141" spans="1:6" x14ac:dyDescent="0.3">
      <c r="A141"/>
      <c r="D141" s="3"/>
      <c r="E141" s="3"/>
      <c r="F141" s="3"/>
    </row>
    <row r="142" spans="1:6" x14ac:dyDescent="0.3">
      <c r="A142"/>
      <c r="D142" s="3"/>
      <c r="E142" s="3"/>
      <c r="F142" s="3"/>
    </row>
    <row r="143" spans="1:6" x14ac:dyDescent="0.3">
      <c r="A143"/>
      <c r="D143" s="3"/>
      <c r="E143" s="3"/>
      <c r="F143" s="3"/>
    </row>
    <row r="144" spans="1:6" x14ac:dyDescent="0.3">
      <c r="A144"/>
      <c r="D144" s="3"/>
      <c r="E144" s="3"/>
      <c r="F144" s="3"/>
    </row>
    <row r="145" spans="1:6" x14ac:dyDescent="0.3">
      <c r="A145"/>
      <c r="D145" s="3"/>
      <c r="E145" s="3"/>
      <c r="F145" s="3"/>
    </row>
    <row r="146" spans="1:6" x14ac:dyDescent="0.3">
      <c r="A146"/>
      <c r="D146" s="3"/>
      <c r="E146" s="3"/>
      <c r="F146" s="3"/>
    </row>
    <row r="147" spans="1:6" x14ac:dyDescent="0.3">
      <c r="A147"/>
      <c r="D147" s="3"/>
      <c r="E147" s="3"/>
      <c r="F147" s="3"/>
    </row>
    <row r="148" spans="1:6" x14ac:dyDescent="0.3">
      <c r="A148"/>
      <c r="D148" s="3"/>
      <c r="E148" s="3"/>
      <c r="F148" s="3"/>
    </row>
    <row r="149" spans="1:6" x14ac:dyDescent="0.3">
      <c r="A149"/>
      <c r="D149" s="3"/>
      <c r="E149" s="3"/>
      <c r="F149" s="3"/>
    </row>
    <row r="150" spans="1:6" x14ac:dyDescent="0.3">
      <c r="A150"/>
      <c r="D150" s="3"/>
      <c r="E150" s="3"/>
      <c r="F150" s="3"/>
    </row>
    <row r="151" spans="1:6" x14ac:dyDescent="0.3">
      <c r="A151"/>
      <c r="D151" s="3"/>
      <c r="E151" s="3"/>
      <c r="F151" s="3"/>
    </row>
    <row r="152" spans="1:6" x14ac:dyDescent="0.3">
      <c r="A152"/>
      <c r="D152" s="3"/>
      <c r="E152" s="3"/>
      <c r="F152" s="3"/>
    </row>
    <row r="153" spans="1:6" x14ac:dyDescent="0.3">
      <c r="A153"/>
      <c r="D153" s="3"/>
      <c r="E153" s="3"/>
      <c r="F153" s="3"/>
    </row>
    <row r="154" spans="1:6" x14ac:dyDescent="0.3">
      <c r="A154"/>
      <c r="D154" s="3"/>
      <c r="E154" s="3"/>
      <c r="F154" s="3"/>
    </row>
    <row r="155" spans="1:6" x14ac:dyDescent="0.3">
      <c r="A155"/>
      <c r="D155" s="3"/>
      <c r="E155" s="3"/>
      <c r="F155" s="3"/>
    </row>
    <row r="156" spans="1:6" x14ac:dyDescent="0.3">
      <c r="A156"/>
      <c r="D156" s="3"/>
      <c r="E156" s="3"/>
      <c r="F156" s="3"/>
    </row>
    <row r="157" spans="1:6" x14ac:dyDescent="0.3">
      <c r="A157"/>
      <c r="D157" s="3"/>
      <c r="E157" s="3"/>
      <c r="F157" s="3"/>
    </row>
    <row r="158" spans="1:6" x14ac:dyDescent="0.3">
      <c r="A158"/>
      <c r="D158" s="3"/>
      <c r="E158" s="3"/>
      <c r="F158" s="3"/>
    </row>
    <row r="159" spans="1:6" x14ac:dyDescent="0.3">
      <c r="A159"/>
      <c r="D159" s="3"/>
      <c r="E159" s="3"/>
      <c r="F159" s="3"/>
    </row>
    <row r="160" spans="1:6" x14ac:dyDescent="0.3">
      <c r="A160"/>
      <c r="D160" s="3"/>
      <c r="E160" s="3"/>
      <c r="F160" s="3"/>
    </row>
    <row r="161" spans="1:6" x14ac:dyDescent="0.3">
      <c r="A161"/>
      <c r="D161" s="3"/>
      <c r="E161" s="3"/>
      <c r="F161" s="3"/>
    </row>
    <row r="162" spans="1:6" x14ac:dyDescent="0.3">
      <c r="A162"/>
      <c r="D162" s="3"/>
      <c r="E162" s="3"/>
      <c r="F162" s="3"/>
    </row>
    <row r="163" spans="1:6" x14ac:dyDescent="0.3">
      <c r="A163"/>
      <c r="D163" s="3"/>
      <c r="E163" s="3"/>
      <c r="F163" s="3"/>
    </row>
    <row r="164" spans="1:6" x14ac:dyDescent="0.3">
      <c r="A164"/>
      <c r="D164" s="3"/>
      <c r="E164" s="3"/>
      <c r="F164" s="3"/>
    </row>
    <row r="165" spans="1:6" x14ac:dyDescent="0.3">
      <c r="A165"/>
      <c r="D165" s="3"/>
      <c r="E165" s="3"/>
      <c r="F165" s="3"/>
    </row>
    <row r="166" spans="1:6" x14ac:dyDescent="0.3">
      <c r="A166"/>
      <c r="D166" s="3"/>
      <c r="E166" s="3"/>
      <c r="F166" s="3"/>
    </row>
    <row r="167" spans="1:6" x14ac:dyDescent="0.3">
      <c r="A167"/>
      <c r="D167" s="3"/>
      <c r="E167" s="3"/>
      <c r="F167" s="3"/>
    </row>
    <row r="168" spans="1:6" x14ac:dyDescent="0.3">
      <c r="A168"/>
      <c r="D168" s="3"/>
      <c r="E168" s="3"/>
      <c r="F168" s="3"/>
    </row>
    <row r="169" spans="1:6" x14ac:dyDescent="0.3">
      <c r="A169"/>
      <c r="D169" s="3"/>
      <c r="E169" s="3"/>
      <c r="F169" s="3"/>
    </row>
    <row r="170" spans="1:6" x14ac:dyDescent="0.3">
      <c r="A170"/>
      <c r="D170" s="3"/>
      <c r="E170" s="3"/>
      <c r="F170" s="3"/>
    </row>
    <row r="171" spans="1:6" x14ac:dyDescent="0.3">
      <c r="A171"/>
      <c r="D171" s="3"/>
      <c r="E171" s="3"/>
      <c r="F171" s="3"/>
    </row>
    <row r="172" spans="1:6" x14ac:dyDescent="0.3">
      <c r="A172"/>
      <c r="D172" s="3"/>
      <c r="E172" s="3"/>
      <c r="F172" s="3"/>
    </row>
    <row r="173" spans="1:6" x14ac:dyDescent="0.3">
      <c r="A173"/>
      <c r="D173" s="3"/>
      <c r="E173" s="3"/>
      <c r="F173" s="3"/>
    </row>
    <row r="174" spans="1:6" x14ac:dyDescent="0.3">
      <c r="A174"/>
      <c r="D174" s="3"/>
      <c r="E174" s="3"/>
      <c r="F174" s="3"/>
    </row>
    <row r="175" spans="1:6" x14ac:dyDescent="0.3">
      <c r="A175"/>
      <c r="D175" s="3"/>
      <c r="E175" s="3"/>
      <c r="F175" s="3"/>
    </row>
    <row r="176" spans="1:6" x14ac:dyDescent="0.3">
      <c r="A176"/>
      <c r="D176" s="3"/>
      <c r="E176" s="3"/>
      <c r="F176" s="3"/>
    </row>
    <row r="177" spans="1:6" x14ac:dyDescent="0.3">
      <c r="A177"/>
      <c r="D177" s="3"/>
      <c r="E177" s="3"/>
      <c r="F177" s="3"/>
    </row>
    <row r="178" spans="1:6" x14ac:dyDescent="0.3">
      <c r="A178"/>
      <c r="D178" s="3"/>
      <c r="E178" s="3"/>
      <c r="F178" s="3"/>
    </row>
    <row r="179" spans="1:6" x14ac:dyDescent="0.3">
      <c r="A179"/>
      <c r="D179" s="3"/>
      <c r="E179" s="3"/>
      <c r="F179" s="3"/>
    </row>
    <row r="180" spans="1:6" x14ac:dyDescent="0.3">
      <c r="A180"/>
      <c r="D180" s="3"/>
      <c r="E180" s="3"/>
      <c r="F180" s="3"/>
    </row>
    <row r="181" spans="1:6" x14ac:dyDescent="0.3">
      <c r="A181"/>
      <c r="D181" s="3"/>
      <c r="E181" s="3"/>
      <c r="F181" s="3"/>
    </row>
    <row r="182" spans="1:6" x14ac:dyDescent="0.3">
      <c r="A182"/>
      <c r="D182" s="3"/>
      <c r="E182" s="3"/>
      <c r="F182" s="3"/>
    </row>
    <row r="183" spans="1:6" x14ac:dyDescent="0.3">
      <c r="A183"/>
      <c r="D183" s="3"/>
      <c r="E183" s="3"/>
      <c r="F183" s="3"/>
    </row>
    <row r="184" spans="1:6" x14ac:dyDescent="0.3">
      <c r="A184"/>
      <c r="D184" s="3"/>
      <c r="E184" s="3"/>
      <c r="F184" s="3"/>
    </row>
    <row r="185" spans="1:6" x14ac:dyDescent="0.3">
      <c r="A185"/>
      <c r="D185" s="3"/>
      <c r="E185" s="3"/>
      <c r="F185" s="3"/>
    </row>
    <row r="186" spans="1:6" x14ac:dyDescent="0.3">
      <c r="A186"/>
      <c r="D186" s="3"/>
      <c r="E186" s="3"/>
      <c r="F186" s="3"/>
    </row>
    <row r="187" spans="1:6" x14ac:dyDescent="0.3">
      <c r="A187"/>
      <c r="D187" s="3"/>
      <c r="E187" s="3"/>
      <c r="F187" s="3"/>
    </row>
    <row r="188" spans="1:6" x14ac:dyDescent="0.3">
      <c r="A188"/>
      <c r="D188" s="3"/>
      <c r="E188" s="3"/>
      <c r="F188" s="3"/>
    </row>
    <row r="189" spans="1:6" x14ac:dyDescent="0.3">
      <c r="A189"/>
      <c r="D189" s="3"/>
      <c r="E189" s="3"/>
      <c r="F189" s="3"/>
    </row>
    <row r="190" spans="1:6" x14ac:dyDescent="0.3">
      <c r="A190"/>
      <c r="D190" s="3"/>
      <c r="E190" s="3"/>
      <c r="F190" s="3"/>
    </row>
    <row r="191" spans="1:6" x14ac:dyDescent="0.3">
      <c r="A191"/>
      <c r="D191" s="3"/>
      <c r="E191" s="3"/>
      <c r="F191" s="3"/>
    </row>
    <row r="192" spans="1:6" x14ac:dyDescent="0.3">
      <c r="A192"/>
      <c r="D192" s="3"/>
      <c r="E192" s="3"/>
      <c r="F192" s="3"/>
    </row>
    <row r="193" spans="1:6" x14ac:dyDescent="0.3">
      <c r="A193"/>
      <c r="D193" s="3"/>
      <c r="E193" s="3"/>
      <c r="F193" s="3"/>
    </row>
    <row r="194" spans="1:6" x14ac:dyDescent="0.3">
      <c r="A194"/>
      <c r="D194" s="3"/>
      <c r="E194" s="3"/>
      <c r="F194" s="3"/>
    </row>
    <row r="195" spans="1:6" x14ac:dyDescent="0.3">
      <c r="A195"/>
      <c r="D195" s="3"/>
      <c r="E195" s="3"/>
      <c r="F195" s="3"/>
    </row>
    <row r="196" spans="1:6" x14ac:dyDescent="0.3">
      <c r="A196"/>
      <c r="D196" s="3"/>
      <c r="E196" s="3"/>
      <c r="F196" s="3"/>
    </row>
    <row r="197" spans="1:6" x14ac:dyDescent="0.3">
      <c r="A197"/>
      <c r="D197" s="3"/>
      <c r="E197" s="3"/>
      <c r="F197" s="3"/>
    </row>
    <row r="198" spans="1:6" x14ac:dyDescent="0.3">
      <c r="A198"/>
      <c r="D198" s="3"/>
      <c r="E198" s="3"/>
      <c r="F198" s="3"/>
    </row>
    <row r="199" spans="1:6" x14ac:dyDescent="0.3">
      <c r="A199"/>
      <c r="D199" s="3"/>
      <c r="E199" s="3"/>
      <c r="F199" s="3"/>
    </row>
    <row r="200" spans="1:6" x14ac:dyDescent="0.3">
      <c r="A200"/>
      <c r="D200" s="3"/>
      <c r="E200" s="3"/>
      <c r="F200" s="3"/>
    </row>
    <row r="201" spans="1:6" x14ac:dyDescent="0.3">
      <c r="A201"/>
      <c r="D201" s="3"/>
      <c r="E201" s="3"/>
      <c r="F201" s="3"/>
    </row>
    <row r="202" spans="1:6" x14ac:dyDescent="0.3">
      <c r="A202"/>
      <c r="D202" s="3"/>
      <c r="E202" s="3"/>
      <c r="F202" s="3"/>
    </row>
    <row r="203" spans="1:6" x14ac:dyDescent="0.3">
      <c r="A203"/>
      <c r="D203" s="3"/>
      <c r="E203" s="3"/>
      <c r="F203" s="3"/>
    </row>
    <row r="204" spans="1:6" x14ac:dyDescent="0.3">
      <c r="A204"/>
      <c r="D204" s="3"/>
      <c r="E204" s="3"/>
      <c r="F204" s="3"/>
    </row>
    <row r="205" spans="1:6" x14ac:dyDescent="0.3">
      <c r="A205"/>
      <c r="D205" s="3"/>
      <c r="E205" s="3"/>
      <c r="F205" s="3"/>
    </row>
    <row r="206" spans="1:6" x14ac:dyDescent="0.3">
      <c r="A206"/>
      <c r="D206" s="3"/>
      <c r="E206" s="3"/>
      <c r="F206" s="3"/>
    </row>
    <row r="207" spans="1:6" x14ac:dyDescent="0.3">
      <c r="A207"/>
      <c r="D207" s="3"/>
      <c r="E207" s="3"/>
      <c r="F207" s="3"/>
    </row>
    <row r="208" spans="1:6" x14ac:dyDescent="0.3">
      <c r="A208"/>
      <c r="D208" s="3"/>
      <c r="E208" s="3"/>
      <c r="F208" s="3"/>
    </row>
    <row r="209" spans="1:6" x14ac:dyDescent="0.3">
      <c r="A209"/>
      <c r="D209" s="3"/>
      <c r="E209" s="3"/>
      <c r="F209" s="3"/>
    </row>
    <row r="210" spans="1:6" x14ac:dyDescent="0.3">
      <c r="A210"/>
      <c r="D210" s="3"/>
      <c r="E210" s="3"/>
      <c r="F210" s="3"/>
    </row>
    <row r="211" spans="1:6" x14ac:dyDescent="0.3">
      <c r="A211"/>
      <c r="D211" s="3"/>
      <c r="E211" s="3"/>
      <c r="F211" s="3"/>
    </row>
    <row r="212" spans="1:6" x14ac:dyDescent="0.3">
      <c r="A212"/>
      <c r="D212" s="3"/>
      <c r="E212" s="3"/>
      <c r="F212" s="3"/>
    </row>
    <row r="213" spans="1:6" x14ac:dyDescent="0.3">
      <c r="A213"/>
      <c r="D213" s="3"/>
      <c r="E213" s="3"/>
      <c r="F213" s="3"/>
    </row>
    <row r="214" spans="1:6" x14ac:dyDescent="0.3">
      <c r="A214"/>
      <c r="D214" s="3"/>
      <c r="E214" s="3"/>
      <c r="F214" s="3"/>
    </row>
    <row r="215" spans="1:6" x14ac:dyDescent="0.3">
      <c r="A215"/>
      <c r="D215" s="3"/>
      <c r="E215" s="3"/>
      <c r="F215" s="3"/>
    </row>
    <row r="216" spans="1:6" x14ac:dyDescent="0.3">
      <c r="A216"/>
      <c r="D216" s="3"/>
      <c r="E216" s="3"/>
      <c r="F216" s="3"/>
    </row>
    <row r="217" spans="1:6" x14ac:dyDescent="0.3">
      <c r="A217"/>
      <c r="D217" s="3"/>
      <c r="E217" s="3"/>
      <c r="F217" s="3"/>
    </row>
    <row r="218" spans="1:6" x14ac:dyDescent="0.3">
      <c r="A218"/>
      <c r="D218" s="3"/>
      <c r="E218" s="3"/>
      <c r="F218" s="3"/>
    </row>
    <row r="219" spans="1:6" x14ac:dyDescent="0.3">
      <c r="A219"/>
      <c r="D219" s="3"/>
      <c r="E219" s="3"/>
      <c r="F219" s="3"/>
    </row>
    <row r="220" spans="1:6" x14ac:dyDescent="0.3">
      <c r="A220"/>
      <c r="D220" s="3"/>
      <c r="E220" s="3"/>
      <c r="F220" s="3"/>
    </row>
    <row r="221" spans="1:6" x14ac:dyDescent="0.3">
      <c r="A221"/>
      <c r="D221" s="3"/>
      <c r="E221" s="3"/>
      <c r="F221" s="3"/>
    </row>
    <row r="222" spans="1:6" x14ac:dyDescent="0.3">
      <c r="A222"/>
      <c r="D222" s="3"/>
      <c r="E222" s="3"/>
      <c r="F222" s="3"/>
    </row>
    <row r="223" spans="1:6" x14ac:dyDescent="0.3">
      <c r="A223"/>
      <c r="D223" s="3"/>
      <c r="E223" s="3"/>
      <c r="F223" s="3"/>
    </row>
    <row r="224" spans="1:6" x14ac:dyDescent="0.3">
      <c r="A224"/>
      <c r="D224" s="3"/>
      <c r="E224" s="3"/>
      <c r="F224" s="3"/>
    </row>
    <row r="225" spans="1:6" x14ac:dyDescent="0.3">
      <c r="A225"/>
      <c r="D225" s="3"/>
      <c r="E225" s="3"/>
      <c r="F225" s="3"/>
    </row>
    <row r="226" spans="1:6" x14ac:dyDescent="0.3">
      <c r="A226"/>
      <c r="D226" s="3"/>
      <c r="E226" s="3"/>
      <c r="F226" s="3"/>
    </row>
    <row r="227" spans="1:6" x14ac:dyDescent="0.3">
      <c r="A227"/>
      <c r="D227" s="3"/>
      <c r="E227" s="3"/>
      <c r="F227" s="3"/>
    </row>
    <row r="228" spans="1:6" x14ac:dyDescent="0.3">
      <c r="A228"/>
      <c r="D228" s="3"/>
      <c r="E228" s="3"/>
      <c r="F228" s="3"/>
    </row>
    <row r="229" spans="1:6" x14ac:dyDescent="0.3">
      <c r="A229"/>
      <c r="D229" s="3"/>
      <c r="E229" s="3"/>
      <c r="F229" s="3"/>
    </row>
    <row r="230" spans="1:6" x14ac:dyDescent="0.3">
      <c r="A230"/>
      <c r="D230" s="3"/>
      <c r="E230" s="3"/>
      <c r="F230" s="3"/>
    </row>
    <row r="231" spans="1:6" x14ac:dyDescent="0.3">
      <c r="A231"/>
      <c r="D231" s="3"/>
      <c r="E231" s="3"/>
      <c r="F231" s="3"/>
    </row>
    <row r="232" spans="1:6" x14ac:dyDescent="0.3">
      <c r="A232"/>
      <c r="D232" s="3"/>
      <c r="E232" s="3"/>
      <c r="F232" s="3"/>
    </row>
    <row r="233" spans="1:6" x14ac:dyDescent="0.3">
      <c r="A233"/>
      <c r="D233" s="3"/>
      <c r="E233" s="3"/>
      <c r="F233" s="3"/>
    </row>
    <row r="234" spans="1:6" x14ac:dyDescent="0.3">
      <c r="A234"/>
      <c r="D234" s="3"/>
      <c r="E234" s="3"/>
      <c r="F234" s="3"/>
    </row>
    <row r="235" spans="1:6" x14ac:dyDescent="0.3">
      <c r="A235"/>
      <c r="D235" s="3"/>
      <c r="E235" s="3"/>
      <c r="F235" s="3"/>
    </row>
    <row r="236" spans="1:6" x14ac:dyDescent="0.3">
      <c r="A236"/>
      <c r="D236" s="3"/>
      <c r="E236" s="3"/>
      <c r="F236" s="3"/>
    </row>
    <row r="237" spans="1:6" x14ac:dyDescent="0.3">
      <c r="A237"/>
      <c r="D237" s="3"/>
      <c r="E237" s="3"/>
      <c r="F237" s="3"/>
    </row>
    <row r="238" spans="1:6" x14ac:dyDescent="0.3">
      <c r="A238"/>
      <c r="D238" s="3"/>
      <c r="E238" s="3"/>
      <c r="F238" s="3"/>
    </row>
    <row r="239" spans="1:6" x14ac:dyDescent="0.3">
      <c r="A239"/>
      <c r="D239" s="3"/>
      <c r="E239" s="3"/>
      <c r="F239" s="3"/>
    </row>
    <row r="240" spans="1:6" x14ac:dyDescent="0.3">
      <c r="A240"/>
      <c r="D240" s="3"/>
      <c r="E240" s="3"/>
      <c r="F240" s="3"/>
    </row>
    <row r="241" spans="1:6" x14ac:dyDescent="0.3">
      <c r="A241"/>
      <c r="D241" s="3"/>
      <c r="E241" s="3"/>
      <c r="F241" s="3"/>
    </row>
    <row r="242" spans="1:6" x14ac:dyDescent="0.3">
      <c r="A242"/>
      <c r="D242" s="3"/>
      <c r="E242" s="3"/>
      <c r="F242" s="3"/>
    </row>
    <row r="243" spans="1:6" x14ac:dyDescent="0.3">
      <c r="A243"/>
      <c r="D243" s="3"/>
      <c r="E243" s="3"/>
      <c r="F243" s="3"/>
    </row>
    <row r="244" spans="1:6" x14ac:dyDescent="0.3">
      <c r="A244"/>
      <c r="D244" s="3"/>
      <c r="E244" s="3"/>
      <c r="F244" s="3"/>
    </row>
    <row r="245" spans="1:6" x14ac:dyDescent="0.3">
      <c r="A245"/>
      <c r="D245" s="3"/>
      <c r="E245" s="3"/>
      <c r="F245" s="3"/>
    </row>
    <row r="246" spans="1:6" x14ac:dyDescent="0.3">
      <c r="A246"/>
      <c r="D246" s="3"/>
      <c r="E246" s="3"/>
      <c r="F246" s="3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8" ma:contentTypeDescription="Utwórz nowy dokument." ma:contentTypeScope="" ma:versionID="8795b3871a4ded53a804a6fa72c30ea7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101a942ff4163969c8f132f63bc181bc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3:MediaServiceAutoTags" minOccurs="0"/>
                <xsd:element ref="ns3:MediaServiceOCR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95CADC-B3A5-4C68-80A8-ABCB2A314F95}">
  <ds:schemaRefs>
    <ds:schemaRef ds:uri="http://schemas.microsoft.com/office/2006/metadata/properties"/>
    <ds:schemaRef ds:uri="http://schemas.microsoft.com/office/infopath/2007/PartnerControls"/>
    <ds:schemaRef ds:uri="d4f64a22-a125-4b7a-afce-4a30c86a8f7c"/>
  </ds:schemaRefs>
</ds:datastoreItem>
</file>

<file path=customXml/itemProps2.xml><?xml version="1.0" encoding="utf-8"?>
<ds:datastoreItem xmlns:ds="http://schemas.openxmlformats.org/officeDocument/2006/customXml" ds:itemID="{BA5FF61D-8D1B-4ECF-9102-6937EB67B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3F9049-6D38-4C8E-B34F-5A0232302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Harmonogram naborów wniosków</vt:lpstr>
      <vt:lpstr>Monitoring</vt:lpstr>
      <vt:lpstr>lista</vt:lpstr>
      <vt:lpstr>'Harmonogram naborów wniosków'!Obszar_wydruku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 Sorek</dc:creator>
  <cp:keywords/>
  <dc:description/>
  <cp:lastModifiedBy>Marczak Sylwia</cp:lastModifiedBy>
  <cp:revision/>
  <cp:lastPrinted>2024-12-16T07:02:38Z</cp:lastPrinted>
  <dcterms:created xsi:type="dcterms:W3CDTF">2023-02-28T07:53:56Z</dcterms:created>
  <dcterms:modified xsi:type="dcterms:W3CDTF">2024-12-19T07:38:10Z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</Properties>
</file>