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czaks\Desktop\Aktualizacja harmongramu wrzesien 24\"/>
    </mc:Choice>
  </mc:AlternateContent>
  <xr:revisionPtr revIDLastSave="0" documentId="13_ncr:1_{C623B97C-6646-46B8-848B-4B03F245E04E}" xr6:coauthVersionLast="47" xr6:coauthVersionMax="47" xr10:uidLastSave="{00000000-0000-0000-0000-000000000000}"/>
  <bookViews>
    <workbookView xWindow="-57720" yWindow="1950" windowWidth="29040" windowHeight="15840" xr2:uid="{00000000-000D-0000-FFFF-FFFF00000000}"/>
  </bookViews>
  <sheets>
    <sheet name="Harmonogram naborów wniosków" sheetId="1" r:id="rId1"/>
    <sheet name="Monitoring" sheetId="3" state="hidden" r:id="rId2"/>
    <sheet name="lista" sheetId="2" state="hidden" r:id="rId3"/>
  </sheets>
  <definedNames>
    <definedName name="_xlnm._FilterDatabase" localSheetId="0" hidden="1">'Harmonogram naborów wniosków'!$C$100:$C$100</definedName>
    <definedName name="_xlnm._FilterDatabase" localSheetId="2" hidden="1">lista!$B$1:$G$111</definedName>
    <definedName name="_xlnm.Print_Area" localSheetId="0">'Harmonogram naborów wniosków'!$A$1:$O$99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" i="1" l="1"/>
  <c r="E5" i="3" l="1"/>
  <c r="C4" i="3"/>
  <c r="P3" i="1"/>
  <c r="P4" i="1"/>
  <c r="P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2" i="1"/>
  <c r="P23" i="1"/>
  <c r="P24" i="1"/>
  <c r="P25" i="1"/>
  <c r="P26" i="1"/>
  <c r="P27" i="1"/>
  <c r="P28" i="1"/>
  <c r="P29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50" i="1"/>
  <c r="P51" i="1"/>
  <c r="P53" i="1"/>
  <c r="P54" i="1"/>
  <c r="P55" i="1"/>
  <c r="P60" i="1"/>
  <c r="P61" i="1"/>
  <c r="P62" i="1"/>
  <c r="P63" i="1"/>
  <c r="P64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8" i="1"/>
  <c r="P89" i="1"/>
  <c r="P90" i="1"/>
  <c r="P92" i="1"/>
  <c r="P93" i="1"/>
  <c r="P94" i="1"/>
  <c r="P95" i="1"/>
  <c r="P99" i="1"/>
  <c r="E4" i="3"/>
  <c r="C12" i="3"/>
  <c r="C11" i="3"/>
  <c r="C10" i="3"/>
  <c r="C9" i="3"/>
  <c r="C8" i="3"/>
  <c r="C7" i="3"/>
  <c r="C6" i="3"/>
  <c r="C5" i="3"/>
  <c r="E12" i="3"/>
  <c r="E11" i="3"/>
  <c r="E10" i="3"/>
  <c r="E9" i="3"/>
  <c r="E8" i="3"/>
  <c r="E7" i="3"/>
  <c r="D7" i="3"/>
  <c r="E6" i="3"/>
  <c r="K15" i="1"/>
  <c r="K18" i="1"/>
  <c r="K69" i="1"/>
  <c r="K87" i="1"/>
  <c r="K88" i="1"/>
  <c r="B58" i="1"/>
  <c r="B59" i="1"/>
  <c r="N57" i="1"/>
  <c r="K57" i="1"/>
  <c r="N58" i="1"/>
  <c r="K58" i="1"/>
  <c r="D58" i="1"/>
  <c r="A58" i="1"/>
  <c r="D33" i="1"/>
  <c r="A33" i="1"/>
  <c r="D77" i="1"/>
  <c r="K77" i="1"/>
  <c r="N77" i="1"/>
  <c r="N76" i="1"/>
  <c r="K76" i="1"/>
  <c r="D76" i="1"/>
  <c r="B76" i="1"/>
  <c r="A76" i="1"/>
  <c r="N75" i="1"/>
  <c r="K75" i="1"/>
  <c r="D75" i="1"/>
  <c r="B75" i="1"/>
  <c r="A75" i="1"/>
  <c r="K91" i="1"/>
  <c r="A91" i="1"/>
  <c r="D91" i="1"/>
  <c r="N91" i="1"/>
  <c r="J40" i="1"/>
  <c r="D66" i="1"/>
  <c r="D65" i="1"/>
  <c r="D64" i="1"/>
  <c r="D63" i="1"/>
  <c r="B65" i="1"/>
  <c r="B66" i="1"/>
  <c r="K66" i="1"/>
  <c r="N66" i="1"/>
  <c r="N24" i="1"/>
  <c r="K24" i="1"/>
  <c r="D24" i="1"/>
  <c r="B24" i="1"/>
  <c r="A24" i="1"/>
  <c r="E16" i="3"/>
  <c r="C16" i="3"/>
  <c r="E15" i="3"/>
  <c r="D15" i="3"/>
  <c r="C15" i="3"/>
  <c r="E14" i="3"/>
  <c r="D14" i="3"/>
  <c r="C14" i="3"/>
  <c r="C13" i="3"/>
  <c r="A99" i="1"/>
  <c r="B99" i="1"/>
  <c r="D99" i="1"/>
  <c r="E99" i="1"/>
  <c r="K99" i="1"/>
  <c r="D16" i="3" s="1"/>
  <c r="A26" i="1"/>
  <c r="B26" i="1"/>
  <c r="D26" i="1"/>
  <c r="K26" i="1"/>
  <c r="N26" i="1"/>
  <c r="B37" i="1"/>
  <c r="N38" i="1"/>
  <c r="K38" i="1"/>
  <c r="D38" i="1"/>
  <c r="B38" i="1"/>
  <c r="A23" i="1"/>
  <c r="B23" i="1"/>
  <c r="D23" i="1"/>
  <c r="K23" i="1"/>
  <c r="N23" i="1"/>
  <c r="K59" i="1"/>
  <c r="A46" i="1"/>
  <c r="B46" i="1"/>
  <c r="D46" i="1"/>
  <c r="K46" i="1"/>
  <c r="N46" i="1"/>
  <c r="A40" i="1"/>
  <c r="B40" i="1"/>
  <c r="D40" i="1"/>
  <c r="K40" i="1"/>
  <c r="N40" i="1"/>
  <c r="B33" i="1"/>
  <c r="K33" i="1"/>
  <c r="N33" i="1"/>
  <c r="K35" i="1"/>
  <c r="A48" i="1"/>
  <c r="B48" i="1"/>
  <c r="D48" i="1"/>
  <c r="K48" i="1"/>
  <c r="N48" i="1"/>
  <c r="A59" i="1"/>
  <c r="D59" i="1"/>
  <c r="N59" i="1"/>
  <c r="A57" i="1"/>
  <c r="D57" i="1"/>
  <c r="K64" i="1"/>
  <c r="B64" i="1"/>
  <c r="A64" i="1"/>
  <c r="K12" i="1"/>
  <c r="K13" i="1"/>
  <c r="K10" i="1"/>
  <c r="K11" i="1"/>
  <c r="N71" i="1"/>
  <c r="K71" i="1"/>
  <c r="D71" i="1"/>
  <c r="B71" i="1"/>
  <c r="A71" i="1"/>
  <c r="N70" i="1"/>
  <c r="K70" i="1"/>
  <c r="D70" i="1"/>
  <c r="B70" i="1"/>
  <c r="A70" i="1"/>
  <c r="K55" i="1"/>
  <c r="A55" i="1"/>
  <c r="B55" i="1"/>
  <c r="D55" i="1"/>
  <c r="N55" i="1"/>
  <c r="A52" i="1"/>
  <c r="B52" i="1"/>
  <c r="D52" i="1"/>
  <c r="K52" i="1"/>
  <c r="N52" i="1"/>
  <c r="B88" i="1"/>
  <c r="A88" i="1"/>
  <c r="D88" i="1"/>
  <c r="N88" i="1"/>
  <c r="D81" i="1"/>
  <c r="D8" i="1"/>
  <c r="A87" i="1"/>
  <c r="B87" i="1"/>
  <c r="D87" i="1"/>
  <c r="N87" i="1"/>
  <c r="A92" i="1"/>
  <c r="B92" i="1"/>
  <c r="D92" i="1"/>
  <c r="K92" i="1"/>
  <c r="N92" i="1"/>
  <c r="J80" i="1"/>
  <c r="A61" i="1"/>
  <c r="B61" i="1"/>
  <c r="D61" i="1"/>
  <c r="K61" i="1"/>
  <c r="N61" i="1"/>
  <c r="K60" i="1"/>
  <c r="A60" i="1"/>
  <c r="B60" i="1"/>
  <c r="D60" i="1"/>
  <c r="N60" i="1"/>
  <c r="C33" i="3" l="1"/>
  <c r="E33" i="3"/>
  <c r="E34" i="3"/>
  <c r="C34" i="3"/>
  <c r="C36" i="3" s="1"/>
  <c r="E35" i="3"/>
  <c r="C35" i="3"/>
  <c r="C17" i="3"/>
  <c r="D11" i="3"/>
  <c r="A15" i="1"/>
  <c r="B15" i="1"/>
  <c r="D15" i="1"/>
  <c r="N15" i="1"/>
  <c r="J83" i="1"/>
  <c r="K83" i="1" s="1"/>
  <c r="J82" i="1"/>
  <c r="K82" i="1" s="1"/>
  <c r="J81" i="1"/>
  <c r="J79" i="1"/>
  <c r="K79" i="1" s="1"/>
  <c r="J78" i="1"/>
  <c r="J20" i="1"/>
  <c r="J19" i="1"/>
  <c r="K19" i="1" s="1"/>
  <c r="J17" i="1"/>
  <c r="K17" i="1" s="1"/>
  <c r="J14" i="1"/>
  <c r="A65" i="1"/>
  <c r="K65" i="1"/>
  <c r="A86" i="1"/>
  <c r="B86" i="1"/>
  <c r="D86" i="1"/>
  <c r="K86" i="1"/>
  <c r="N86" i="1"/>
  <c r="A85" i="1"/>
  <c r="B85" i="1"/>
  <c r="D85" i="1"/>
  <c r="K85" i="1"/>
  <c r="N85" i="1"/>
  <c r="A63" i="1"/>
  <c r="B63" i="1"/>
  <c r="K63" i="1"/>
  <c r="K78" i="1" l="1"/>
  <c r="E13" i="3"/>
  <c r="K14" i="1"/>
  <c r="K20" i="1"/>
  <c r="K81" i="1"/>
  <c r="A45" i="1"/>
  <c r="B45" i="1"/>
  <c r="D45" i="1"/>
  <c r="K45" i="1"/>
  <c r="N45" i="1"/>
  <c r="N43" i="1"/>
  <c r="K43" i="1"/>
  <c r="A43" i="1"/>
  <c r="B43" i="1"/>
  <c r="D43" i="1"/>
  <c r="A39" i="1"/>
  <c r="B39" i="1"/>
  <c r="D39" i="1"/>
  <c r="K39" i="1"/>
  <c r="N39" i="1"/>
  <c r="K80" i="1"/>
  <c r="J16" i="1"/>
  <c r="A81" i="1"/>
  <c r="A82" i="1"/>
  <c r="B81" i="1"/>
  <c r="B82" i="1"/>
  <c r="D82" i="1"/>
  <c r="N81" i="1"/>
  <c r="N82" i="1"/>
  <c r="A83" i="1"/>
  <c r="B83" i="1"/>
  <c r="D83" i="1"/>
  <c r="N83" i="1"/>
  <c r="D20" i="1"/>
  <c r="D19" i="1"/>
  <c r="D18" i="1"/>
  <c r="A17" i="1"/>
  <c r="B17" i="1"/>
  <c r="D17" i="1"/>
  <c r="N17" i="1"/>
  <c r="A18" i="1"/>
  <c r="B18" i="1"/>
  <c r="N18" i="1"/>
  <c r="A19" i="1"/>
  <c r="B19" i="1"/>
  <c r="N19" i="1"/>
  <c r="A20" i="1"/>
  <c r="B20" i="1"/>
  <c r="N20" i="1"/>
  <c r="N84" i="1"/>
  <c r="K84" i="1"/>
  <c r="D84" i="1"/>
  <c r="B84" i="1"/>
  <c r="A84" i="1"/>
  <c r="A78" i="1"/>
  <c r="B78" i="1"/>
  <c r="D78" i="1"/>
  <c r="N78" i="1"/>
  <c r="A79" i="1"/>
  <c r="B79" i="1"/>
  <c r="D79" i="1"/>
  <c r="N79" i="1"/>
  <c r="A80" i="1"/>
  <c r="B80" i="1"/>
  <c r="D80" i="1"/>
  <c r="N80" i="1"/>
  <c r="N74" i="1"/>
  <c r="K74" i="1"/>
  <c r="D74" i="1"/>
  <c r="B74" i="1"/>
  <c r="A74" i="1"/>
  <c r="D10" i="1"/>
  <c r="N10" i="1"/>
  <c r="B10" i="1"/>
  <c r="A10" i="1"/>
  <c r="A14" i="1"/>
  <c r="B14" i="1"/>
  <c r="D14" i="1"/>
  <c r="N14" i="1"/>
  <c r="A16" i="1"/>
  <c r="B16" i="1"/>
  <c r="D16" i="1"/>
  <c r="N16" i="1"/>
  <c r="A8" i="1"/>
  <c r="B8" i="1"/>
  <c r="K8" i="1"/>
  <c r="N8" i="1"/>
  <c r="A7" i="1"/>
  <c r="B7" i="1"/>
  <c r="D7" i="1"/>
  <c r="K7" i="1"/>
  <c r="N7" i="1"/>
  <c r="D69" i="1"/>
  <c r="N69" i="1"/>
  <c r="B69" i="1"/>
  <c r="A69" i="1"/>
  <c r="A53" i="1"/>
  <c r="B53" i="1"/>
  <c r="D53" i="1"/>
  <c r="K53" i="1"/>
  <c r="N53" i="1"/>
  <c r="A54" i="1"/>
  <c r="B54" i="1"/>
  <c r="D54" i="1"/>
  <c r="K54" i="1"/>
  <c r="N54" i="1"/>
  <c r="K51" i="1"/>
  <c r="A51" i="1"/>
  <c r="B51" i="1"/>
  <c r="D51" i="1"/>
  <c r="N51" i="1"/>
  <c r="B3" i="1"/>
  <c r="K16" i="1" l="1"/>
  <c r="N47" i="1"/>
  <c r="K47" i="1"/>
  <c r="D47" i="1"/>
  <c r="B47" i="1"/>
  <c r="A47" i="1"/>
  <c r="N72" i="1"/>
  <c r="K72" i="1"/>
  <c r="A72" i="1"/>
  <c r="B72" i="1"/>
  <c r="D72" i="1"/>
  <c r="N29" i="1"/>
  <c r="N28" i="1"/>
  <c r="K29" i="1"/>
  <c r="D29" i="1"/>
  <c r="B29" i="1"/>
  <c r="A29" i="1"/>
  <c r="N27" i="1"/>
  <c r="K27" i="1"/>
  <c r="D27" i="1"/>
  <c r="B27" i="1"/>
  <c r="A27" i="1"/>
  <c r="K28" i="1"/>
  <c r="D28" i="1"/>
  <c r="B28" i="1"/>
  <c r="A28" i="1"/>
  <c r="A9" i="1"/>
  <c r="B9" i="1"/>
  <c r="D9" i="1"/>
  <c r="K9" i="1"/>
  <c r="D5" i="3" s="1"/>
  <c r="N9" i="1"/>
  <c r="N25" i="1"/>
  <c r="K25" i="1"/>
  <c r="D25" i="1"/>
  <c r="B25" i="1"/>
  <c r="A25" i="1"/>
  <c r="N22" i="1"/>
  <c r="K22" i="1"/>
  <c r="D6" i="3" s="1"/>
  <c r="D22" i="1"/>
  <c r="B22" i="1"/>
  <c r="A22" i="1"/>
  <c r="J41" i="1"/>
  <c r="A95" i="1"/>
  <c r="B95" i="1"/>
  <c r="D95" i="1"/>
  <c r="K95" i="1"/>
  <c r="N95" i="1"/>
  <c r="A94" i="1"/>
  <c r="B94" i="1"/>
  <c r="D94" i="1"/>
  <c r="K94" i="1"/>
  <c r="N94" i="1"/>
  <c r="A93" i="1"/>
  <c r="B93" i="1"/>
  <c r="D93" i="1"/>
  <c r="K93" i="1"/>
  <c r="N93" i="1"/>
  <c r="A36" i="1"/>
  <c r="B36" i="1"/>
  <c r="D36" i="1"/>
  <c r="K36" i="1"/>
  <c r="N36" i="1"/>
  <c r="A34" i="1"/>
  <c r="B34" i="1"/>
  <c r="D34" i="1"/>
  <c r="K34" i="1"/>
  <c r="N34" i="1"/>
  <c r="E36" i="3" l="1"/>
  <c r="K32" i="1"/>
  <c r="N32" i="1"/>
  <c r="N90" i="1"/>
  <c r="K90" i="1"/>
  <c r="D90" i="1"/>
  <c r="B90" i="1"/>
  <c r="A90" i="1"/>
  <c r="N89" i="1"/>
  <c r="K89" i="1"/>
  <c r="D89" i="1"/>
  <c r="B89" i="1"/>
  <c r="A89" i="1"/>
  <c r="A50" i="1"/>
  <c r="B50" i="1"/>
  <c r="D50" i="1"/>
  <c r="K50" i="1"/>
  <c r="D10" i="3" s="1"/>
  <c r="N50" i="1"/>
  <c r="K41" i="1"/>
  <c r="K44" i="1"/>
  <c r="D9" i="3" s="1"/>
  <c r="A35" i="1"/>
  <c r="B35" i="1"/>
  <c r="D35" i="1"/>
  <c r="A32" i="1"/>
  <c r="B32" i="1"/>
  <c r="D32" i="1"/>
  <c r="A4" i="1"/>
  <c r="B4" i="1"/>
  <c r="D4" i="1"/>
  <c r="K4" i="1"/>
  <c r="N4" i="1"/>
  <c r="K73" i="1"/>
  <c r="K3" i="1" l="1"/>
  <c r="D35" i="3" s="1"/>
  <c r="K5" i="1"/>
  <c r="K37" i="1"/>
  <c r="K67" i="1"/>
  <c r="D12" i="3" s="1"/>
  <c r="D13" i="3"/>
  <c r="D8" i="3" l="1"/>
  <c r="D34" i="3"/>
  <c r="D33" i="3"/>
  <c r="D4" i="3"/>
  <c r="D17" i="3" s="1"/>
  <c r="A73" i="1"/>
  <c r="B73" i="1"/>
  <c r="D73" i="1"/>
  <c r="N73" i="1"/>
  <c r="A44" i="1"/>
  <c r="B44" i="1"/>
  <c r="D44" i="1"/>
  <c r="N44" i="1"/>
  <c r="D36" i="3" l="1"/>
  <c r="N3" i="1"/>
  <c r="N5" i="1"/>
  <c r="N37" i="1"/>
  <c r="N67" i="1"/>
  <c r="D3" i="1"/>
  <c r="D5" i="1"/>
  <c r="D37" i="1"/>
  <c r="D41" i="1"/>
  <c r="D67" i="1"/>
  <c r="B5" i="1"/>
  <c r="B41" i="1"/>
  <c r="B67" i="1"/>
  <c r="A3" i="1"/>
  <c r="A5" i="1"/>
  <c r="A37" i="1"/>
  <c r="A41" i="1"/>
  <c r="A67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9" i="2"/>
  <c r="G110" i="2"/>
  <c r="G111" i="2"/>
  <c r="C27" i="3" l="1"/>
  <c r="D27" i="3"/>
  <c r="E27" i="3"/>
  <c r="E26" i="3"/>
  <c r="D26" i="3"/>
  <c r="C26" i="3"/>
  <c r="E25" i="3"/>
  <c r="D25" i="3"/>
  <c r="C25" i="3"/>
  <c r="E24" i="3"/>
  <c r="D24" i="3"/>
  <c r="C24" i="3"/>
  <c r="C23" i="3"/>
  <c r="C28" i="3" l="1"/>
  <c r="E17" i="3"/>
  <c r="D23" i="3"/>
  <c r="D28" i="3" s="1"/>
  <c r="E23" i="3"/>
  <c r="E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tc={34749051-77DF-408B-960D-955FE2C0FDB1}</author>
    <author>tc={BD05B4E9-533D-442C-BF1E-4587BF569BF0}</author>
    <author>tc={163B21B8-0858-4D5B-911D-8A18C8A84CF0}</author>
    <author>tc={8D4BBC90-638A-44F4-9408-5EF4570D2CFA}</author>
    <author>tc={BC391831-FCC2-4AB9-A3AB-4986CA7BE373}</author>
    <author>tc={3D1B4332-33C8-4241-B65F-BE3865DD3D72}</author>
    <author>tc={78DEE236-C0EF-40DE-BC70-BFA4EB63E65C}</author>
  </authors>
  <commentList>
    <comment ref="E1" authorId="0" shapeId="0" xr:uid="{34749051-77DF-408B-960D-955FE2C0FDB1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jeśli w danym działaniu będzie więcej niż jeden nabór</t>
        </r>
      </text>
    </comment>
    <comment ref="F1" authorId="1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>
        </r>
      </text>
    </comment>
    <comment ref="G1" authorId="2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>
        </r>
      </text>
    </comment>
    <comment ref="H1" authorId="3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Wskazane typy powinny być spójne z informacjami wskazanymi w SZOP</t>
        </r>
      </text>
    </comment>
    <comment ref="I1" authorId="4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>
        </r>
      </text>
    </comment>
    <comment ref="J1" authorId="5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PLN</t>
        </r>
      </text>
    </comment>
    <comment ref="K1" authorId="6" shapeId="0" xr:uid="{00000000-0006-0000-00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EUR</t>
        </r>
      </text>
    </comment>
  </commentList>
</comments>
</file>

<file path=xl/sharedStrings.xml><?xml version="1.0" encoding="utf-8"?>
<sst xmlns="http://schemas.openxmlformats.org/spreadsheetml/2006/main" count="1168" uniqueCount="508">
  <si>
    <t>CS</t>
  </si>
  <si>
    <t>NAZWA CELU SZCZEGÓŁOWEGO</t>
  </si>
  <si>
    <t>NR DZIAŁANIA</t>
  </si>
  <si>
    <t>NAZWA DZIAŁANIA</t>
  </si>
  <si>
    <t>TYTUŁ NABORU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</si>
  <si>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</si>
  <si>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</si>
  <si>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</si>
  <si>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</si>
  <si>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</si>
  <si>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</si>
  <si>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</si>
  <si>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</si>
  <si>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</si>
  <si>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</si>
  <si>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Kolumna1</t>
  </si>
  <si>
    <t>I. FUNDUSZE EUROPEJSKIE NA INTELIGENTNY ROZWÓJ</t>
  </si>
  <si>
    <t>01.02</t>
  </si>
  <si>
    <t>4. Wdrożenie wyników prac B+R</t>
  </si>
  <si>
    <t>przedsiębiorstwa</t>
  </si>
  <si>
    <t>konkurencyjny</t>
  </si>
  <si>
    <t>województwo śląskie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</si>
  <si>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</si>
  <si>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t>01.04</t>
  </si>
  <si>
    <t>Regionalne e-usługi dla samorządowych jednostek organizacyjnych Województwa Śląskiego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</si>
  <si>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</si>
  <si>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Samorząd Województwa </t>
  </si>
  <si>
    <t>niekonkurencyjny</t>
  </si>
  <si>
    <t xml:space="preserve">Administracja publiczna, Przedsiębiorstwa realizujące cele publiczne, Partnerstwa, Służby publiczne, Organizacje społeczne i związki wyznaniowe, Instytucje nauki i edukacji  </t>
  </si>
  <si>
    <t>II. FUNDUSZE EUROPEJSKIE NA ZIELONY ROZWÓJ</t>
  </si>
  <si>
    <t>02.01</t>
  </si>
  <si>
    <t>OSI
Subregion Centralny
Subregion Południowy
Subregion Północny</t>
  </si>
  <si>
    <t>1. Modernizacja energetyczna budynków użyteczności publicznej, w tym budynków zabytkowych.
2. Działania edukacyjne związane z poprawą efektywności energetycznej.</t>
  </si>
  <si>
    <t>Administracja publiczna</t>
  </si>
  <si>
    <t>LGD</t>
  </si>
  <si>
    <t xml:space="preserve">Administracja publiczna, Instytucje nauki i edukacji, Instytucje ochrony zdrowia, Organizacje społeczne i związki wyznaniowe, Partnerstwa, Partnerzy społeczni, Przedsiębiorstwa realizujące cele publiczne, Służby publiczne
</t>
  </si>
  <si>
    <t>Nabór zostanie uruchomiony pod warunkiem przyjęcia odpowiednich dokumentów strategicznych.</t>
  </si>
  <si>
    <t>02.02</t>
  </si>
  <si>
    <t>ZIT Zachodni</t>
  </si>
  <si>
    <t>Administracja publiczna, 
Służby publiczne, 
Partnerstwa,
Organizacje społeczne i związki wyznaniowe,
Przedsiębiorstwa realizujące cele publiczne,
Instytucje ochrony zdrowia,
Instytucje nauki i edukacji</t>
  </si>
  <si>
    <t>02.06</t>
  </si>
  <si>
    <t>1. Magazyny energii elektrycznej i cieplnej, na potrzeby istniejącej instalacji OZE (projekty inne niż parasolowe i grantowe). 
2. Magazyny energii elektrycznej i cieplnej, na potrzeby istniejącej instalacji OZE (projekty parasolowe i grantowe).</t>
  </si>
  <si>
    <t>RSO.2.5</t>
  </si>
  <si>
    <t>Wspieranie dostępu do wody oraz zrównoważonej gospodarki wodnej</t>
  </si>
  <si>
    <t>02.11</t>
  </si>
  <si>
    <t>Infrastruktura wodno-kanalizacyjna</t>
  </si>
  <si>
    <t>1. Budowa i modernizacja sieci kanalizacji dla ścieków komunalnych, w tym kanalizacji deszczowej;
2. Budowa i modernizacja oczyszczalni ścieków komunalnych;
3. Budowa i modernizacja instalacji do zagospodarowania komunalnych osadów ściekowych;
4. Budowa i modernizacja systemów zaopatrzenia w wodę.
dla aglomeracji z przedziału od 2 tyś. RLM do poniżej 10 tyś. RLM</t>
  </si>
  <si>
    <t xml:space="preserve">Administracja publiczna
Przedsiębiorstwa 
Przedsiębiorstwa realizujące cele publiczne
Partnerstwa
Służby publiczne
Organizacje społeczne i związki wyznaniowe
</t>
  </si>
  <si>
    <t>województwo śląskie (koperta regionalna)</t>
  </si>
  <si>
    <t>Departament Europejskiego Funduszu Rozwoju Regionalnego</t>
  </si>
  <si>
    <t>Nabór dla aglomeracji z przedziału od 2 tyś. RLM do poniżej 10 tyś. RLM z całego wojewóztwa</t>
  </si>
  <si>
    <t>województwo śląskie (koperta dla Subregionu Północnego)</t>
  </si>
  <si>
    <t>4. Budowa i modernizacja systemów zaopatrzenia w wodę.
samodzielne projekty wodne dla gmin do 15 tys. mieszkańców - dla całości województwa</t>
  </si>
  <si>
    <t>02.12</t>
  </si>
  <si>
    <t>2. Punkty selektywnej zbiórki odpadów komunalnych (PSZOK).</t>
  </si>
  <si>
    <t>Służby publiczne, 
Administracja publiczna, 
Przedsiębiorstwa, 
Partnerstwa</t>
  </si>
  <si>
    <t>wojewódzwo śląskie (podregion częstochowski)</t>
  </si>
  <si>
    <t>02.14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</si>
  <si>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</si>
  <si>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</si>
  <si>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02.15</t>
  </si>
  <si>
    <t>ZIT Centralny</t>
  </si>
  <si>
    <t>subregion centralny</t>
  </si>
  <si>
    <t>ZIT Południowy</t>
  </si>
  <si>
    <t>subregion południowy</t>
  </si>
  <si>
    <t>ZIT Północny</t>
  </si>
  <si>
    <t>subregion północny</t>
  </si>
  <si>
    <t>subregion zachodni</t>
  </si>
  <si>
    <t xml:space="preserve">III FUNDUSZE EUROPEJSKIE DLA ZRÓWNOWAŻONEJ MOBILNOŚCI										</t>
  </si>
  <si>
    <t>03.01</t>
  </si>
  <si>
    <t xml:space="preserve">Zakup taboru autobusowego/trolejbusowego </t>
  </si>
  <si>
    <t>Administracja publiczna, Przedsiębiorstwa realizujące cele publiczne</t>
  </si>
  <si>
    <t>Zakup taboru autobusowego/trolejbusowego</t>
  </si>
  <si>
    <t>03.02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</si>
  <si>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</si>
  <si>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</si>
  <si>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 xml:space="preserve">ZIT Centralny </t>
  </si>
  <si>
    <t>03.03</t>
  </si>
  <si>
    <t>Budowa/ przebudowa sieci regionalnych tras rowerowych.</t>
  </si>
  <si>
    <t xml:space="preserve">Administracja publiczna, Zintegrowane Inwestycje Terytorialne (ZIT), Organizacje społeczne i związki wyznaniowe </t>
  </si>
  <si>
    <t>31.01.2025</t>
  </si>
  <si>
    <t xml:space="preserve">IV FUNDUSZE EUROPEJSKIE DLA SPRAWNEGO TRANSPORTU										</t>
  </si>
  <si>
    <t>V FUNDUSZE EUROPEJSKIE DLA RYNKU PRACY</t>
  </si>
  <si>
    <t>05.01</t>
  </si>
  <si>
    <t>Aktywizacja osób bezrobotnych zarejestrowanych w Powiatowych Urzędach Pracy</t>
  </si>
  <si>
    <t>Projekty z zakresu kompleksowej aktywizacji zawodowo-edukacyjnej, w ramach których są realizowane instrumenty i usługi rynku pracy wskazane w ustawie właściwej regulującej politykę rynku pracy.</t>
  </si>
  <si>
    <t>Powiatowe Urzędy Pracy</t>
  </si>
  <si>
    <t>05.02</t>
  </si>
  <si>
    <t>Aktywni z OHP</t>
  </si>
  <si>
    <t>Projekty z zakresu kompleksowego wsparcia, w ramach których są realizowane instrumenty i usługi rynku pracy wskazane w ustawie właściwej regulującej politykę rynku pracy, dotyczące głównych zadań Ochotniczych Hufców Pracy.</t>
  </si>
  <si>
    <t>Ochotniczy Hufiec Pracy</t>
  </si>
  <si>
    <t>05.03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</si>
  <si>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</si>
  <si>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</si>
  <si>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05.06</t>
  </si>
  <si>
    <t>Typ 2: wsparcie dla partnerów społecznych, o których mowa w art. 8 Rozporządzenia 2021/1060, tj. instytucji i podmiotów dialogu obywatelskiego - organizacji reprezentujących interesy pracowników i pracodawców</t>
  </si>
  <si>
    <t>województwo śląśkie</t>
  </si>
  <si>
    <t>Wojewódzki Urząd Pracy</t>
  </si>
  <si>
    <t>05.11</t>
  </si>
  <si>
    <t>1. Szkolenia dla przedsiębiorców przy wykorzystaniu BUR.
W ramach interwencji realizowane będą szkolenia  mające na celu eliminację działań dyskryminujących oraz wdrażania w organizacji działań mających na celu praktyczny work life balance.
2.Szkolenia dla pracodawców nie będących przedsiębiorcami;
W ramach interwencji realizowane będą szkolenia mające na celu eliminację działań dyskryminujących oraz wdrażania w organizacji działań mających na celu praktyczny work life balance.
3. Szkolenia i doradztwo psychologiczne dla osób powracających na rynek pracy po przerwie związanej z opieką nad dzieckiem/osobą potrzebującą wsparcia w codziennym funkcjonowaniu (praktyczny work life balance).</t>
  </si>
  <si>
    <t>Wszystkie podmioty (z wyłączeniem osób fizycznych, nie dotyczy osób prowadzących działalność gospodarczą lub oświatową na podstawie przepisów odrębnych) - typy beneficjentów zostaną doprecyzowane w SZOP</t>
  </si>
  <si>
    <t>05.12</t>
  </si>
  <si>
    <t>Wdrażanie programów rehabilitacji medycznej ułatwiających powrót do pracy bądź utrzymanie zatrudnienia</t>
  </si>
  <si>
    <t xml:space="preserve">Dotyczy regionalnego programu rehabilitacji osób z chorobami układu kostno-stawowego i mięśniowego na lata 2024-2027. Istnieje możliwość nieuruchomienia naboru we wskazanym okresie. </t>
  </si>
  <si>
    <t>ES04.4</t>
  </si>
  <si>
    <t>Dotyczy Regionalnego programu rehabilitacji osób z zaburzeniami i chorobami psychicznymi, w tym depresją na lata 2024-2027. Istnieje możliwość nieuruchomienia naboru we wskazanym okresie.</t>
  </si>
  <si>
    <t>05.13</t>
  </si>
  <si>
    <t>1. Eliminowanie zdrowotnych czynników ryzyka w miejscu pracy</t>
  </si>
  <si>
    <t>Istnieje możliwość nieuruchomienia naboru we wskazanym okresie.</t>
  </si>
  <si>
    <t>05.14</t>
  </si>
  <si>
    <t>Szkolenia i studia podyplomowe dla pracowników gminnych i powiatowych jednostek samorządu terytorialnego, w tym pracowników Związku ZIT oraz dla pracowników Związku Metropolitarnego w województwie śląskim (GZM),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</t>
  </si>
  <si>
    <t>subregion centralny, subregion południowy, subregion północny, subregion zachodni</t>
  </si>
  <si>
    <t>05.16</t>
  </si>
  <si>
    <t>Wsparcie o charakterze outplacementu dla przedsiębiorców, pracowników zagrożonych zwolnieniem, przewidzianych do zwolnienia lub zwolnionych m.in. z przyczyn niedotyczących pracownika, przyczyn restrukturyzacyjnych, adaptacyjnych i modernizacyjnych przedsiębiorstwa</t>
  </si>
  <si>
    <t>VI FUNDUSZE EUROPEJSKIE DLA EDUKACJI</t>
  </si>
  <si>
    <t>06.01</t>
  </si>
  <si>
    <t>1. Wsparcie edukacji przedszkolnej poprzez organizację zajęć dodatkowych, edukację włączającą oraz doposażenie</t>
  </si>
  <si>
    <t>Istnieje możliwość nieuruchomienia naboru we wskazanym okresie.
Kwota przeznaczona na dofinansowanie projektów zostanie określona w Regulaminie wyboru projektów i będzie uzależniona od dostępności środków na działaniu 6.1</t>
  </si>
  <si>
    <t>06.03</t>
  </si>
  <si>
    <t xml:space="preserve">1. Staże uczniowskie w kształceniu zawodowym
2. Dostosowanie kształcenia zawodowego do potrzeb rynku pracy.
3. Edukacja włączająca w kształceniu zawodowym.
</t>
  </si>
  <si>
    <t xml:space="preserve">Istnieje możliwość nieuruchomienia naboru we wskazanym okresie </t>
  </si>
  <si>
    <t>06.05</t>
  </si>
  <si>
    <t>Działania na rzecz edukacji pozaformalnej dzieci i młodzieży na terenie objętym LSR</t>
  </si>
  <si>
    <t>Lokalne Grupy Działania</t>
  </si>
  <si>
    <t>06.06</t>
  </si>
  <si>
    <t>typ 2 Wsparcie osób pracujących w systemie ochrony zdrowia (kadry medyczne, okołomedyczne,
niemedyczne), w tym w zawodach istotnych z punktu widzenia funkcjonowania systemu, które z własnej
inicjatywy chcą podnieść swoje umiejętności/kompetencje lub nabyć nowe kwalifikacje</t>
  </si>
  <si>
    <t>06.07</t>
  </si>
  <si>
    <t>1. możliwości przejścia oceny, np. audytu umiejętności39) , w celu określenia posiadanych umiejętności i potrzeb w zakresie ich poprawy, w tym z wykorzystaniem modelu Bilansu Kompetencji, oraz 2. dopasowanych i elastycznych ofert uczenia się, zgodnych z wynikami audytu umiejętności, oraz 3. walidacji nabytych umiejętności podstawowych lub certyfikowania kwalifikacji, w tym zachęcenie do założenia „Mojego portfolio” lub konta Europass;</t>
  </si>
  <si>
    <t>06.09</t>
  </si>
  <si>
    <t>aktywizacja i włączenie w różnorodne formy edukacji osoby dorosłe, w szczególności osoby z grup w niekorzystnej sytuacji, na rzecz rozwoju umiejętności, kwalifikacji i kompetencji, stanowiących podstawę dla uczenia się przez całe życie, przydatnych do poruszania się na rynku pracy, dla rozwoju osobistego i rozwoju wspólnot lokalnych, poprzez tworzenie lokalnych punktów wsparcia kształcenia osób dorosłych w oparciu o model LOWE (Lokalne Ośrodki Wiedzy i Edukacji*) opracowany w perspektywie 2014-2020 w ramach programu krajowego POWER.</t>
  </si>
  <si>
    <t>VII FUNDUSZE EUROPEJSKIE DLA SPOŁECZEŃSTWA</t>
  </si>
  <si>
    <t>07.03</t>
  </si>
  <si>
    <t>a) wspieranie migrantów oraz pracodawców w procesie integracji cudzoziemców na rynku pracy; b) usługi dla cudzoziemców, w tym o charakterze kompleksowych ścieżek integracji, które pozwolą im na lepsze funkcjonowanie w polskim społeczeństwie, m.in. kursy języka polskiego, szkolenia z zakresu wartości i kultury polskiej, szkolenia umożliwiające zdobycie kwalifikacji, dostarczanie praktycznych informacji dotyczących różnych aspektów życia w Polsce, porady prawne itp.; c) działania na rzecz społeczeństwa przyjmującego i jego instytucji, w tym przeciwdziałanie dyskryminacji, budowanie wiedzy i potencjału podmiotów działających na rzecz migrantów; – z uwzględnieniem demarkacji i komplementarności z działaniami w ramach FERS (obejmującymi m.in. wypracowanie i koordynację wdrożenia standardu obsługi cudzoziemców przez PSZ oraz tworzenie i modernizację punktów obsługi cudzoziemców w ramach sieci PSZ).</t>
  </si>
  <si>
    <t>07.06</t>
  </si>
  <si>
    <t>1. Deinstytucjonalizacja opieki długoterminowej (z wyłączeniem opieki paliatywnej i hospicyjnej),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Deinstytucjonalizacja opieki paliatywnej i hospicyjnej.</t>
  </si>
  <si>
    <t>07.09</t>
  </si>
  <si>
    <t>I kwartał 2025</t>
  </si>
  <si>
    <t>II kwartał 2025</t>
  </si>
  <si>
    <t>1. Usługi dla osób w kryzysie bezdomności, dotkniętych wykluczeniem z dostępu do mieszkań lub zagrożonych bezdomnością, w tym wsparcie tworzenia i funkcjonowania mieszkań.
2. Wdrażanie programu „Housing First - Najpierw Mieszkanie".
3. Budowanie zdolności organizacyjnych organizacji społeczeństwa obywatelskiego (typ uzupełniający).</t>
  </si>
  <si>
    <t>07.10</t>
  </si>
  <si>
    <t>Działania na rzecz społeczności lokalnych na terenie objętym LSR</t>
  </si>
  <si>
    <t>07.11</t>
  </si>
  <si>
    <t>1. Kompleksowe wsparcie integracyjne i edukacyjne społeczności mniejszościowych, w tym romskich;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Budowanie zdolności organizacyjnych partnerów społeczeństwa obywatelskiego (typ uzupełniający).</t>
  </si>
  <si>
    <t>07.12</t>
  </si>
  <si>
    <t>1. Wsparcie dialogu społecznego oraz budowanie potencjału organizacji społeczeństwa obywatelskiego.</t>
  </si>
  <si>
    <t>VIII FUNDUSZE EUROPEJSKIE NA INFRASTRUKTURĘ DLA MIESZKAŃCA</t>
  </si>
  <si>
    <t>Poprawa równego dostępu do wysokiej jakości usług sprzyjających włączeniu społecznemu w zakresie kształcenia,
szkoleń i uczenia się przez całe życie poprzez rozwój łatwo dostępnej infrastruktury, w tym poprzez wspieranie odporności w zakresie kształcenia i szkolenia
na odległość oraz online (EFRR)</t>
  </si>
  <si>
    <t>08.01</t>
  </si>
  <si>
    <t>Podniesienie jakości kształcenia w zakresie
rehabilitacji na poziomie szkolnictwa
wyższego</t>
  </si>
  <si>
    <t>III kwartał 2025</t>
  </si>
  <si>
    <t>Przebudowa, budowa, remont pomieszczeń w obiektach infrastruktury szkolnictwa wyższego wraz z
zapewnieniem wyposażenia oraz dostosowaniem infrastruktury do edukacji włączającej.</t>
  </si>
  <si>
    <t>Instytucje nauki i edukacji  
Administracja publiczna</t>
  </si>
  <si>
    <t>województwo śląskie (podregiony katowicki, tyski, bytomski, gliwicki, sosnowiecki, rybnicki, bielski)</t>
  </si>
  <si>
    <t>08.05</t>
  </si>
  <si>
    <t>IV kwartał 2025</t>
  </si>
  <si>
    <t>Cyfryzacja opieki zdrowotnej</t>
  </si>
  <si>
    <t>Administracja publiczna 
instytucje ochrony zdrowia</t>
  </si>
  <si>
    <t>08.06</t>
  </si>
  <si>
    <t>1.Wsparcie infrastruktury Centrów Zdrowia Psychicznego, celem upowszechnienia środowiskowego modelu psychiatrycznej opieki zdrowotnej
2.Wsparcie podmiotów podstawowej opieki zdrowotnej i ambulatoryjnej opieki specjalistycznej, w celu wzmocnienia niższych poziomów opieki zdrowotnej, które przyczynią się do zachowania i poprawy stanu zdrowia społeczeństwa oraz łatwiejszego dostępu do lekarza POZ i AOS
3.Wsparcie podmiotów świadczących usługi opieki długoterminowej (w tym hospicyjnej, paliatywnej) w formie zdeinstytucjonalizowanej (dziennej, środowiskowej czy domowej)</t>
  </si>
  <si>
    <t xml:space="preserve">województwo śląskie </t>
  </si>
  <si>
    <t>możliwe jest ogłoszenie konkursu tylko na wybrane typy /typ projektu</t>
  </si>
  <si>
    <t>08.07</t>
  </si>
  <si>
    <t>Przekształcenie Studia Filmów Rysunkowych w Centrum Przemysłu Kreatywnego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</si>
  <si>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</si>
  <si>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</si>
  <si>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</si>
  <si>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>Rozbudowa Teatru Zagłębia w Sosnowcu</t>
  </si>
  <si>
    <t xml:space="preserve">IX FUNDUSZE EUROPEJSKIE NA ROZWÓJ TERYTORIALNY										</t>
  </si>
  <si>
    <t>09.01</t>
  </si>
  <si>
    <t>Stacja Beskidy – Śląskie Centrum Dostępności Górskiej i Turystyki Zrównoważonej im. Grzegorza Szetyńskiego</t>
  </si>
  <si>
    <t>Infrastruktura turystyczna i dziedzictwa kulturowego</t>
  </si>
  <si>
    <t>Administracja publiczna, Organizacje społeczne i związki wyznaniowe, Służby publiczne, Zintegrowane
Inwestycje Terytorialne (ZIT)</t>
  </si>
  <si>
    <t>Rozwój infrastruktury kultury
Infrastruktura turystyczna i dziedzictwa kulturowego
Sieci szlaków turystycznych</t>
  </si>
  <si>
    <t>województwo śląskie (podregion bielski)</t>
  </si>
  <si>
    <t>województwo śląskie (podregion rybnicki)</t>
  </si>
  <si>
    <t>RSO5.1</t>
  </si>
  <si>
    <t>województwo śląskie
(podregion częstochowski)</t>
  </si>
  <si>
    <t>09.02</t>
  </si>
  <si>
    <t>Inicjatywy rozwoju terytorialnego, w tym przygotowanie strategii terytorialnych</t>
  </si>
  <si>
    <t>Zintegrowane Inwestycje Terytorialne (ZIT)</t>
  </si>
  <si>
    <t xml:space="preserve">X FUNDUSZE EUROPEJSKIE NA TRANSFORMACJĘ 										</t>
  </si>
  <si>
    <t>10.2</t>
  </si>
  <si>
    <t>Badania, rozwój i innowacje w przedsiębiorstwach na rzecz transformacji.</t>
  </si>
  <si>
    <t>województwo śląskie (podregiony - katowicki, bielski, tyski, rybnicki, gliwicki, bytomski; sosnowiecki)</t>
  </si>
  <si>
    <r>
      <rPr>
        <sz val="11"/>
        <color rgb="FF000000"/>
        <rFont val="Arial"/>
        <family val="2"/>
        <charset val="238"/>
      </rPr>
      <t xml:space="preserve">Możliwość uzyskania wsparcia dotyczyć będzie prac badawczo - rozwojowych realizujących badania przemysłowe i prace eksperymentalno - rozwojowe, prac badawczo - rozwojowych realizujących badania przemysłowe i prace eksperymentalno - rozwojowe wraz z modułem wdrożeniowym, same prace eksperymentalo - rozwojowe lub same prace eksperymentalo - rozwojowe wraz z modułem wdrożeniowym, nakierowane na proces transformacji. Do wsparcia będą kwalifikować się wyłącznie projekty zlokalizowane w jednym z 7 podregionów (katowickim, bielskim, tyskim, rybnickim, gliwickim, bytomskim i sosnowieckim) wskazanych w programie Fundusze Europejskie dla Śląskiego 2021-2027. O wsparcie będą mogły ubiegać się duże, średnie, małe i mikro przedsiębiorstwa a także partnerstwa przedsiębiorstw i organizacji badawczych. Realizowane projekty będą musiały być zgodne z Programem Rozwoju Technologii Województwa Śląskiego na lata 2019-2030 (PRT). Minimalna wartość dofinansowania, o którą będą musieli ubiegać się Wnioskodawcy wynosi 2 000 000,00 PLN </t>
    </r>
    <r>
      <rPr>
        <sz val="11"/>
        <rFont val="Arial"/>
        <family val="2"/>
        <charset val="238"/>
      </rPr>
      <t xml:space="preserve">dla dużych przedsiębiorstw i 1 000 000,00 PLN dla przedsiębiorstw z sektora MŚP. </t>
    </r>
    <r>
      <rPr>
        <sz val="11"/>
        <color rgb="FF000000"/>
        <rFont val="Arial"/>
        <family val="2"/>
        <charset val="238"/>
      </rPr>
      <t xml:space="preserve">Jest to wartość obowiązująca do etapu podpisania umowy włącznie. Udzielane wsparcie będzie miało charakter dotacji. </t>
    </r>
  </si>
  <si>
    <t>10.3</t>
  </si>
  <si>
    <t>Wsparcie rozwoju działalności rzemieślniczej</t>
  </si>
  <si>
    <t>mikro i małe przedsiębiorstwa</t>
  </si>
  <si>
    <t>Wsparcie zostanie skierowane do mikro i małych przedsiębiorstw, na rozwój i utrzymanie działalności rzemieślniczej przedsiębiorstwa, którego dotyczy dowód kwalifikacji zawodowej aplikującego Wnioskodawcy. O wsparcie mogą się ubiegać wyłącznie przedsiębiorstwa ujęte w CEIDG, w tym wspólnicy spółek cywilnych, o ile przedstawią dowód kwalifikacji zawodowej. Minimalna wartość dofinansowania, o którą będą mogli ubiegać się Wnioskodawcy wynosi 
50 000,00 PLN, a maksymalna nie może przekroczyć 400 000,00 PLN. Maksymalna wartość całkowita projektu to 200 000,00 EUR.</t>
  </si>
  <si>
    <t>10.4</t>
  </si>
  <si>
    <t>Wsparcie dużych przedsiębiorstw na rzecz transformacji</t>
  </si>
  <si>
    <t>duże przedsiębiorstwa</t>
  </si>
  <si>
    <t>Nabór zostanie skierowany do przedsiębiorstw z sektora dużych przedsiębiorstw, na projekty zidentyfikowane w programie FE SL 2021-2027.</t>
  </si>
  <si>
    <t>10.6</t>
  </si>
  <si>
    <t>Infrastruktura służąca do produkcji i/lub magazynowania energii z odnawialnych źródeł (projekty inne niż parasolowe i grantowe)</t>
  </si>
  <si>
    <t xml:space="preserve">Infrastruktura służąca do produkcji i/lub magazynowania energii z odnawialnych źródeł w projektach parasolowych i grantowych.
Infrastruktura służąca do produkcji i/lub magazynowania energii z odnawialnych źródeł w projektach innych niż parasolowe i grantowe </t>
  </si>
  <si>
    <t>JS08.1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</si>
  <si>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</si>
  <si>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Infrastruktura służąca do produkcji i/lub magazynowania energii z odnawialnych źródeł w projektach parasolowych i grantowych.</t>
  </si>
  <si>
    <t>Administracja publiczna, 
Partnerstwa</t>
  </si>
  <si>
    <t>10.7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</si>
  <si>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</si>
  <si>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</si>
  <si>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>województwo śląskie (podregiony katowicki, tyski, bytomski, gliwicki, sosnowiecki)</t>
  </si>
  <si>
    <t>OSI Centralny, OSI Południowy, OSI Zachodni</t>
  </si>
  <si>
    <t xml:space="preserve">Administracja publiczna, </t>
  </si>
  <si>
    <t>województwo śląskie (podregiony bytomski, gliwicki, katowicki, tyski, sosnowiecki, bielski, rybnicki)</t>
  </si>
  <si>
    <t>10.8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</si>
  <si>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</si>
  <si>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</si>
  <si>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10.9</t>
  </si>
  <si>
    <t xml:space="preserve">Ponowne wykorzystanie terenów poprzemysłowych, zdewastowanych, zdegradowanych na cele rozwojowe regionu </t>
  </si>
  <si>
    <t xml:space="preserve">Administracja publiczna. 
Służby publiczne. 
Partnerstwa. 
Organizacje społeczne i związki wyznaniowe. 
Instytucje nauki i edukacji. </t>
  </si>
  <si>
    <t xml:space="preserve">OSI </t>
  </si>
  <si>
    <t>OSI - nabór dedykowany dla gminy Rydułtowy</t>
  </si>
  <si>
    <t>10.12</t>
  </si>
  <si>
    <t>Zrównoważona, inteligentna mobilność – kluczem do transformacji regionu - etap 2</t>
  </si>
  <si>
    <t>Nie dotyczy</t>
  </si>
  <si>
    <t xml:space="preserve">niekonkurencyjny </t>
  </si>
  <si>
    <t>województwo śląskie (podregiony katowicki, tyski, sosnowiecki)</t>
  </si>
  <si>
    <t>10.13</t>
  </si>
  <si>
    <t>SPIN-ART-Centrum Edukacji Artystycznej i Kulturalnej UŚ</t>
  </si>
  <si>
    <t>Przebudowa, budowa, remont obiektów infrastruktury szkolnictwa wyższego wraz z zapewnieniem wyposażenia oraz dostosowaniem infrastruktury do edukacji włączającej</t>
  </si>
  <si>
    <t>Centrum Transformacji Gospodarki</t>
  </si>
  <si>
    <t>Raciborska 44 – rozbudowa infrastruktury
dydaktycznej kampusu ASP na rzecz sztuki i
dizajnu</t>
  </si>
  <si>
    <t>10.17</t>
  </si>
  <si>
    <t xml:space="preserve">Szkolenia/doradztwo w ramach PSF. </t>
  </si>
  <si>
    <t>10.18</t>
  </si>
  <si>
    <t>Wsparcie mające na celu utrzymania zatrudnienia u pracodawców przechodzących zmiany restrukturyzacyjne, których celem będzie przebranżowienie swojego profilu działalności, tzw. redeployment, zgodnie z polityką gospodarczą – lokalnym podejściem do rozwoju gospodarki, w szczególności z uwagi na potrzebę przechodzenia na gospodarkę niskoemisyjną.</t>
  </si>
  <si>
    <t>10.19</t>
  </si>
  <si>
    <t>10.21</t>
  </si>
  <si>
    <t>Wsparcie pracowników zaangażowanych w proces transformacji. Szkolenia dla pracowników służb polityki społecznej wspierające pracę z osobami dotkniętymi procesami transformacji.</t>
  </si>
  <si>
    <t>XI FUNDUSZE EUROPEJSKIE NA POMOC TECHNICZĄ EFFR</t>
  </si>
  <si>
    <t>XII FUNDUSZE EUROPEJSKIE NA POMOC TECHNICZĄ EFS+</t>
  </si>
  <si>
    <t>XIII FUNDUSZE EUROPEJSKIE NA POMOC TECHNICZĄ FST</t>
  </si>
  <si>
    <t>13.01</t>
  </si>
  <si>
    <t>Departament Rozwoju i Transformacji Regionu</t>
  </si>
  <si>
    <t>1. liczba naborów i kwoty na priorytet</t>
  </si>
  <si>
    <t>Priorytet</t>
  </si>
  <si>
    <t>liczba naborów</t>
  </si>
  <si>
    <t>kwota EUR</t>
  </si>
  <si>
    <t>kwota PLN</t>
  </si>
  <si>
    <t>I</t>
  </si>
  <si>
    <t>FUNDUSZE EUROPEJSKIE NA INTELIGENTNY ROZWÓJ</t>
  </si>
  <si>
    <t>II</t>
  </si>
  <si>
    <t>FUNDUSZE EUROPEJSKIE NA ZIELONY ROZWÓJ</t>
  </si>
  <si>
    <t>III</t>
  </si>
  <si>
    <t>FUNDUSZE EUROPEJSKIE DLA ZRÓWNOWAŻONEJ MOBILNOŚCI</t>
  </si>
  <si>
    <t>IV</t>
  </si>
  <si>
    <t>FUNDUSZE EUROPEJSKIE DLA SPRAWNEGO TRANSPORTU</t>
  </si>
  <si>
    <t>V</t>
  </si>
  <si>
    <t>FUNDUSZE EUROPEJSKIE DLA RYNKU PRACY</t>
  </si>
  <si>
    <t>VI</t>
  </si>
  <si>
    <t>FUNDUSZE EUROPEJSKIE DLA EDUKACJI</t>
  </si>
  <si>
    <t>VII</t>
  </si>
  <si>
    <t>FUNDUSZE EUROPEJSKIE DLA SPOŁECZEŃSTWA</t>
  </si>
  <si>
    <t>VIII</t>
  </si>
  <si>
    <t>FUNDUSZE EUROPEJSKIE NA INFRASTRUKTURĘ DLA MIESZKAŃCA</t>
  </si>
  <si>
    <t>IX</t>
  </si>
  <si>
    <t>FUNDUSZE EUROPEJSKIE NA ROZWÓJ TERYTORIALNY</t>
  </si>
  <si>
    <t>X</t>
  </si>
  <si>
    <t>FUNDUSZE EUROPEJSKIE NA TRANSFORMACJI</t>
  </si>
  <si>
    <t>XI</t>
  </si>
  <si>
    <t>FUNDUSZE EUROPEJSKIE NA POMOC TECHNICZNĄ EFRR</t>
  </si>
  <si>
    <t>XII</t>
  </si>
  <si>
    <t>FUNDUSZE EUROPEJSKIE NA POMOC TECHNICZNĄ EFS+</t>
  </si>
  <si>
    <t>XIII</t>
  </si>
  <si>
    <t>FUNDUSZE EUROPEJSKIE NA POMOC TECHNICZNĄ FST</t>
  </si>
  <si>
    <t>SUMA</t>
  </si>
  <si>
    <t>2. Liczba naborów i kwoty w podziale na IONy</t>
  </si>
  <si>
    <t>DEFRR</t>
  </si>
  <si>
    <t>DEFS</t>
  </si>
  <si>
    <t>Departament Europejskiego Funduszu Społecznego</t>
  </si>
  <si>
    <t>ŚCP</t>
  </si>
  <si>
    <t>Śląskie Centrum Przedsiębiorczości</t>
  </si>
  <si>
    <t>WUP</t>
  </si>
  <si>
    <t>DRT</t>
  </si>
  <si>
    <t>3. Liczba naborów i kwoty w podziale na daty</t>
  </si>
  <si>
    <t>trwające i rozpoczynające sie do końca aktualnego kwartału</t>
  </si>
  <si>
    <t>od pierwszego miesiąca nowego kwartału do konca 2024 roku</t>
  </si>
  <si>
    <t>pozostałe</t>
  </si>
  <si>
    <t>D</t>
  </si>
  <si>
    <t>RSO</t>
  </si>
  <si>
    <t>RSO.T</t>
  </si>
  <si>
    <t>D.T</t>
  </si>
  <si>
    <t>ION</t>
  </si>
  <si>
    <t>01.01</t>
  </si>
  <si>
    <t>RSO1.1</t>
  </si>
  <si>
    <t xml:space="preserve">Rozwijanie i wzmacnianie zdolności badawczych i innowacyjnych oraz wykorzystywanie zaawansowanych technologii </t>
  </si>
  <si>
    <t>B+R - organizacje badawcze</t>
  </si>
  <si>
    <t>Badania, rozwój i innowacje w przedsiębiorstwach</t>
  </si>
  <si>
    <t>01.03</t>
  </si>
  <si>
    <t>Ekosystem RIS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</si>
  <si>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</si>
  <si>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</si>
  <si>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</si>
  <si>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01.05</t>
  </si>
  <si>
    <t>Innowacyjne rozwiązania cyfrowe w ochronie zdrowia</t>
  </si>
  <si>
    <t>01.06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</si>
  <si>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</si>
  <si>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</si>
  <si>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</si>
  <si>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01.07</t>
  </si>
  <si>
    <t>Klastry</t>
  </si>
  <si>
    <t>01.08</t>
  </si>
  <si>
    <t>Innowacje cyfrowe w MŚP</t>
  </si>
  <si>
    <t>01.09</t>
  </si>
  <si>
    <t>Konkurencyjność przedsiębiorstw (IF)</t>
  </si>
  <si>
    <t>01.10</t>
  </si>
  <si>
    <t>Promocja eksportu i internacjonalizacja MŚP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</si>
  <si>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</si>
  <si>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</si>
  <si>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</si>
  <si>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</si>
  <si>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02.03</t>
  </si>
  <si>
    <t xml:space="preserve">Efektywność energetyczna budynków mieszkalnych </t>
  </si>
  <si>
    <t>02.04</t>
  </si>
  <si>
    <t>Efektywność energetyczna budynków mieszkalnych - ZIT</t>
  </si>
  <si>
    <t>02.05</t>
  </si>
  <si>
    <t>Efektywność energetyczna budynków użyteczności publicznej, mieszkalnych i przedsiębiorstw (IF)</t>
  </si>
  <si>
    <t>RSO2.2</t>
  </si>
  <si>
    <t>Wspieranie energii odnawialnej zgodnie z dyrektywą (UE) 2018/2001, w tym określonymi w niej kryteriami zrównowazonego rozwoju</t>
  </si>
  <si>
    <t>Odnawialne źródła energii</t>
  </si>
  <si>
    <t>02.07</t>
  </si>
  <si>
    <t>Odnawialne źródła energii (IF)</t>
  </si>
  <si>
    <t>02.08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</si>
  <si>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</si>
  <si>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</si>
  <si>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</si>
  <si>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02.09</t>
  </si>
  <si>
    <t>Wsparcie dla klimatu - ZIT</t>
  </si>
  <si>
    <t>02.10</t>
  </si>
  <si>
    <t>Wzmocnienie potencjału służb ratowniczych</t>
  </si>
  <si>
    <t>RSO2.5</t>
  </si>
  <si>
    <t xml:space="preserve">Wspieranie dostępu do wody oraz zrównoważonej gospodarki wodnej </t>
  </si>
  <si>
    <t>RSO2.6</t>
  </si>
  <si>
    <t>Wspieranie transformacji w kierunku gospodarki o obiegu zamkniętym i gospodarki zasobooszczędnej</t>
  </si>
  <si>
    <t>Gospodarka odpadami komunalnymi</t>
  </si>
  <si>
    <t>02.13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</si>
  <si>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</si>
  <si>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</si>
  <si>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</si>
  <si>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</si>
  <si>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</si>
  <si>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02.16</t>
  </si>
  <si>
    <t>Rekultywacja terenów zdegradowanych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</si>
  <si>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</si>
  <si>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</si>
  <si>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</si>
  <si>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</si>
  <si>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</si>
  <si>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04.01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</si>
  <si>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</si>
  <si>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</si>
  <si>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</si>
  <si>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04.02</t>
  </si>
  <si>
    <t>Drogi gminne i powiatowe</t>
  </si>
  <si>
    <t>04.03</t>
  </si>
  <si>
    <t>Regionalny tabor kolejowy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</si>
  <si>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</si>
  <si>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</si>
  <si>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</si>
  <si>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</si>
  <si>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ALMA - staże zagraniczne dla młodych</t>
  </si>
  <si>
    <t>05.04</t>
  </si>
  <si>
    <t>Aktywizacja zawodowa osób pracujących</t>
  </si>
  <si>
    <t>05.05</t>
  </si>
  <si>
    <t>Usługi EURES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</si>
  <si>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</si>
  <si>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</si>
  <si>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</si>
  <si>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05.07</t>
  </si>
  <si>
    <t>Opracowanie modelu prognozowania i monitorowania zmian na rynku pracy.</t>
  </si>
  <si>
    <t>05.08</t>
  </si>
  <si>
    <t>Budowanie sieci współpracy międzyinstytucjonalnej i promocji w zakresie poradnictwa zawodowego.</t>
  </si>
  <si>
    <t>05.09</t>
  </si>
  <si>
    <t>EURES-T Beskydy</t>
  </si>
  <si>
    <t>05.10</t>
  </si>
  <si>
    <t>EURES dla PSZ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</si>
  <si>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</si>
  <si>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</si>
  <si>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</si>
  <si>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</si>
  <si>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</si>
  <si>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</si>
  <si>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Zdrowy pracownik</t>
  </si>
  <si>
    <t>Usługi rozwojowe dla kadr administracji samorządowej</t>
  </si>
  <si>
    <t>05.15</t>
  </si>
  <si>
    <t>Usługi rozwojowe dla przedsiębiorców - PSF</t>
  </si>
  <si>
    <t>Outplacement EFS+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</si>
  <si>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</si>
  <si>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</si>
  <si>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</si>
  <si>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06.02</t>
  </si>
  <si>
    <t>Kształcenie ogólne</t>
  </si>
  <si>
    <t>Kształcenie zawodowe</t>
  </si>
  <si>
    <t>06.04</t>
  </si>
  <si>
    <t>Strategiczne projekty dla obszaru edukacji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</si>
  <si>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</si>
  <si>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</si>
  <si>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</si>
  <si>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</si>
  <si>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Upskilling pathways - RLKS</t>
  </si>
  <si>
    <t>06.08</t>
  </si>
  <si>
    <t>Upskilling pathways</t>
  </si>
  <si>
    <t>Lokalne Ośrodki Wiedzy i Edukacji - LOWE</t>
  </si>
  <si>
    <t>07.01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</si>
  <si>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</si>
  <si>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</si>
  <si>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</si>
  <si>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07.02</t>
  </si>
  <si>
    <t>Aktywna integracja</t>
  </si>
  <si>
    <t>ESO4.9</t>
  </si>
  <si>
    <t xml:space="preserve">Wspieranie integracji społeczno-gospodarczej obywateli państw trzecich, w tym migrantów </t>
  </si>
  <si>
    <t>Integracja społeczno - gospodarcza cudzoziemców</t>
  </si>
  <si>
    <t>07.04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</si>
  <si>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</si>
  <si>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</si>
  <si>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</si>
  <si>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07.05</t>
  </si>
  <si>
    <t>Strategiczne projekty dla obszaru usług społecznych</t>
  </si>
  <si>
    <t>Ochrona zdrowia</t>
  </si>
  <si>
    <t>07.07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</si>
  <si>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</si>
  <si>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</si>
  <si>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</si>
  <si>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07.08</t>
  </si>
  <si>
    <t>Strategiczne projekty dla obszaru wsparcia rodziny</t>
  </si>
  <si>
    <t>Usługi dla osób w kryzysie bezdomności lub  dotkniętych wykluczeniem z dostępu do mieszkań</t>
  </si>
  <si>
    <t>Wsparcie społeczności objętych LSR</t>
  </si>
  <si>
    <t>Wsparcie społeczności mniejszościowych, w tym społeczności romskich</t>
  </si>
  <si>
    <t>Rozwój dialogu obywatelskiego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</si>
  <si>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</si>
  <si>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</si>
  <si>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</si>
  <si>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08.02</t>
  </si>
  <si>
    <t>Edukacja włączająca</t>
  </si>
  <si>
    <t>08.03</t>
  </si>
  <si>
    <t>Infrastruktura szkolnictwa zawodowego - ZIT</t>
  </si>
  <si>
    <t>08.04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</si>
  <si>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</si>
  <si>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</si>
  <si>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</si>
  <si>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</si>
  <si>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</si>
  <si>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</si>
  <si>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Infrastruktura ochrony zdrowia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</si>
  <si>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</si>
  <si>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</si>
  <si>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</si>
  <si>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</si>
  <si>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</si>
  <si>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</si>
  <si>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09.03</t>
  </si>
  <si>
    <t>Rewitalizacja obszarów miejskich</t>
  </si>
  <si>
    <t>09.04</t>
  </si>
  <si>
    <t>Rewitalizacja obszarów miejskich (IF)</t>
  </si>
  <si>
    <t>09.05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</si>
  <si>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</si>
  <si>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</si>
  <si>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</si>
  <si>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10.1</t>
  </si>
  <si>
    <t>JSO8.1</t>
  </si>
  <si>
    <t xml:space="preserve">Wykorzystanie terenów zdegradowanych  w celu rozwoju regionu poprzez inwestycje przedsiębiorstw </t>
  </si>
  <si>
    <t>Badania, rozwój i innowacje w przedsiębiorstwach na rzecz transformacji</t>
  </si>
  <si>
    <t>Wsparcie MŚP na rzecz transformacji</t>
  </si>
  <si>
    <t>10.5</t>
  </si>
  <si>
    <t>Innowacyjna infrastruktura wspierająca gospodarkę.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</si>
  <si>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</si>
  <si>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</si>
  <si>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</si>
  <si>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</si>
  <si>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</si>
  <si>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10.11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</si>
  <si>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</si>
  <si>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</si>
  <si>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</si>
  <si>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10.14</t>
  </si>
  <si>
    <t>Infrastruktura kształcenia zawodowego</t>
  </si>
  <si>
    <t>10.15</t>
  </si>
  <si>
    <t>Wykorzystanie endogenicznych potencjałów podregionów górniczych</t>
  </si>
  <si>
    <t>10.16</t>
  </si>
  <si>
    <t>Rozwój przedsiębiorczości  FST</t>
  </si>
  <si>
    <t>Kształcenie osób dorosłych - FST</t>
  </si>
  <si>
    <t xml:space="preserve">Redeployment </t>
  </si>
  <si>
    <t>Outpalcement FST</t>
  </si>
  <si>
    <t>10.20</t>
  </si>
  <si>
    <t>Wsparcie na założenie działalności gospodarczej</t>
  </si>
  <si>
    <t>Wsparcie pracowników zaangażowanych w proces transformacji</t>
  </si>
  <si>
    <t>10.22</t>
  </si>
  <si>
    <t>Regionalne Obserwatorim Procesu Transformacji - FST</t>
  </si>
  <si>
    <t>10.23</t>
  </si>
  <si>
    <t>Edukacja zawodowa w procesie sprawiedliwej transformacji regionu</t>
  </si>
  <si>
    <t>10.24</t>
  </si>
  <si>
    <t>Włączenie społeczne - wzmocnienie procesu sprawiedliwej transformacji</t>
  </si>
  <si>
    <t>10.25</t>
  </si>
  <si>
    <t>Rozwój kształcenia wyższego zgodnie z potrzebami zielonej gospodarki</t>
  </si>
  <si>
    <t>10.26</t>
  </si>
  <si>
    <t>Wzmocnienie procesu sprawiedliwej transformacji w regionie.</t>
  </si>
  <si>
    <t>10.26 Wzmocnienie procesu sprawiedliwej transformacji - zrządzanie procesami transformacji i ich wdrażanie</t>
  </si>
  <si>
    <t>11.1</t>
  </si>
  <si>
    <t>PT</t>
  </si>
  <si>
    <t>Pomoc techniczna</t>
  </si>
  <si>
    <t>Pomoc Technicza EFRR</t>
  </si>
  <si>
    <t>12.1</t>
  </si>
  <si>
    <t>Pomoc Technicza EFS+</t>
  </si>
  <si>
    <t>PT.1-  Pomoc Techniczna</t>
  </si>
  <si>
    <t>Pomoc Technicza 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</si>
</sst>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  <numFmt numFmtId="168" formatCode="#,##0.00\ [$€-1];[Red]\-#,##0.00\ [$€-1]"/>
    <numFmt numFmtId="169" formatCode="_-* #,##0.00\ [$€-1]_-;\-* #,##0.00\ [$€-1]_-;_-* &quot;-&quot;??\ [$€-1]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trike/>
      <sz val="12"/>
      <name val="Arial"/>
      <family val="2"/>
      <charset val="238"/>
    </font>
    <font>
      <sz val="12"/>
      <color rgb="FF000000"/>
      <name val="Arial"/>
    </font>
    <font>
      <sz val="12"/>
      <color rgb="FF242424"/>
      <name val="Arial"/>
    </font>
    <font>
      <sz val="11"/>
      <color rgb="FF000000"/>
      <name val="Arial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Arial"/>
    </font>
    <font>
      <sz val="12"/>
      <name val="Arial"/>
    </font>
    <font>
      <sz val="12"/>
      <color theme="1"/>
      <name val="Arial"/>
    </font>
    <font>
      <sz val="12"/>
      <color rgb="FF000000"/>
      <name val="Arial"/>
      <charset val="1"/>
    </font>
    <font>
      <sz val="12"/>
      <name val="Calibri"/>
      <family val="2"/>
      <charset val="238"/>
    </font>
    <font>
      <sz val="13"/>
      <color theme="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99">
    <xf numFmtId="0" fontId="0" fillId="0" borderId="0" xfId="0"/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168" fontId="4" fillId="0" borderId="10" xfId="0" applyNumberFormat="1" applyFont="1" applyBorder="1"/>
    <xf numFmtId="8" fontId="4" fillId="0" borderId="10" xfId="0" applyNumberFormat="1" applyFont="1" applyBorder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0" xfId="0" applyFont="1" applyBorder="1"/>
    <xf numFmtId="0" fontId="10" fillId="0" borderId="0" xfId="0" applyFont="1" applyAlignment="1">
      <alignment vertical="center"/>
    </xf>
    <xf numFmtId="4" fontId="0" fillId="0" borderId="0" xfId="0" applyNumberFormat="1"/>
    <xf numFmtId="0" fontId="12" fillId="3" borderId="0" xfId="0" applyFont="1" applyFill="1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164" fontId="6" fillId="0" borderId="0" xfId="0" applyNumberFormat="1" applyFont="1"/>
    <xf numFmtId="0" fontId="0" fillId="0" borderId="2" xfId="0" applyBorder="1" applyAlignment="1">
      <alignment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49" fontId="16" fillId="0" borderId="10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vertical="center"/>
    </xf>
    <xf numFmtId="0" fontId="14" fillId="8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left" vertical="center" wrapText="1"/>
    </xf>
    <xf numFmtId="164" fontId="14" fillId="4" borderId="10" xfId="0" applyNumberFormat="1" applyFont="1" applyFill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0" fontId="14" fillId="8" borderId="10" xfId="0" applyFont="1" applyFill="1" applyBorder="1" applyAlignment="1">
      <alignment horizontal="left" vertical="center" wrapText="1"/>
    </xf>
    <xf numFmtId="14" fontId="14" fillId="8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164" fontId="14" fillId="3" borderId="10" xfId="0" applyNumberFormat="1" applyFont="1" applyFill="1" applyBorder="1" applyAlignment="1">
      <alignment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left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165" fontId="14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horizontal="right" vertical="center"/>
    </xf>
    <xf numFmtId="164" fontId="14" fillId="4" borderId="10" xfId="0" applyNumberFormat="1" applyFont="1" applyFill="1" applyBorder="1" applyAlignment="1">
      <alignment horizontal="right" vertical="center" wrapText="1"/>
    </xf>
    <xf numFmtId="165" fontId="14" fillId="0" borderId="10" xfId="0" applyNumberFormat="1" applyFont="1" applyBorder="1" applyAlignment="1">
      <alignment horizontal="right" vertical="center" wrapText="1"/>
    </xf>
    <xf numFmtId="0" fontId="14" fillId="4" borderId="10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8" fontId="14" fillId="0" borderId="10" xfId="0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vertical="center" wrapText="1"/>
    </xf>
    <xf numFmtId="14" fontId="14" fillId="3" borderId="10" xfId="0" applyNumberFormat="1" applyFont="1" applyFill="1" applyBorder="1" applyAlignment="1">
      <alignment horizontal="center" vertical="center" wrapText="1"/>
    </xf>
    <xf numFmtId="8" fontId="14" fillId="8" borderId="10" xfId="0" applyNumberFormat="1" applyFont="1" applyFill="1" applyBorder="1" applyAlignment="1">
      <alignment vertical="center" wrapText="1"/>
    </xf>
    <xf numFmtId="167" fontId="14" fillId="8" borderId="10" xfId="0" applyNumberFormat="1" applyFont="1" applyFill="1" applyBorder="1" applyAlignment="1">
      <alignment horizontal="center" vertical="center" wrapText="1"/>
    </xf>
    <xf numFmtId="164" fontId="14" fillId="8" borderId="10" xfId="0" applyNumberFormat="1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wrapText="1"/>
    </xf>
    <xf numFmtId="0" fontId="14" fillId="3" borderId="10" xfId="0" applyFont="1" applyFill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14" fontId="15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164" fontId="14" fillId="8" borderId="10" xfId="0" applyNumberFormat="1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center" vertical="center"/>
    </xf>
    <xf numFmtId="0" fontId="16" fillId="6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6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49" fontId="16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67" fontId="14" fillId="0" borderId="1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164" fontId="14" fillId="3" borderId="15" xfId="0" applyNumberFormat="1" applyFont="1" applyFill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6" fillId="7" borderId="19" xfId="0" applyFont="1" applyFill="1" applyBorder="1" applyAlignment="1">
      <alignment horizontal="left" vertical="center"/>
    </xf>
    <xf numFmtId="0" fontId="16" fillId="7" borderId="20" xfId="0" applyFont="1" applyFill="1" applyBorder="1" applyAlignment="1">
      <alignment horizontal="left" vertical="center" wrapText="1"/>
    </xf>
    <xf numFmtId="49" fontId="16" fillId="7" borderId="20" xfId="0" applyNumberFormat="1" applyFont="1" applyFill="1" applyBorder="1" applyAlignment="1">
      <alignment horizontal="center" vertical="center"/>
    </xf>
    <xf numFmtId="49" fontId="16" fillId="7" borderId="20" xfId="0" applyNumberFormat="1" applyFont="1" applyFill="1" applyBorder="1" applyAlignment="1">
      <alignment vertical="center" wrapText="1"/>
    </xf>
    <xf numFmtId="49" fontId="16" fillId="7" borderId="20" xfId="0" applyNumberFormat="1" applyFont="1" applyFill="1" applyBorder="1" applyAlignment="1">
      <alignment horizontal="center" vertical="center" wrapText="1"/>
    </xf>
    <xf numFmtId="14" fontId="14" fillId="7" borderId="20" xfId="0" applyNumberFormat="1" applyFont="1" applyFill="1" applyBorder="1" applyAlignment="1">
      <alignment horizontal="center" vertical="center" wrapText="1"/>
    </xf>
    <xf numFmtId="49" fontId="14" fillId="7" borderId="20" xfId="0" applyNumberFormat="1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left" vertical="center" wrapText="1"/>
    </xf>
    <xf numFmtId="164" fontId="14" fillId="7" borderId="20" xfId="0" applyNumberFormat="1" applyFont="1" applyFill="1" applyBorder="1" applyAlignment="1">
      <alignment vertical="center" wrapText="1"/>
    </xf>
    <xf numFmtId="164" fontId="16" fillId="6" borderId="20" xfId="0" applyNumberFormat="1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left" vertical="center"/>
    </xf>
    <xf numFmtId="0" fontId="16" fillId="7" borderId="21" xfId="0" applyFont="1" applyFill="1" applyBorder="1" applyAlignment="1">
      <alignment horizontal="left" vertical="center" wrapText="1"/>
    </xf>
    <xf numFmtId="49" fontId="16" fillId="7" borderId="21" xfId="0" applyNumberFormat="1" applyFont="1" applyFill="1" applyBorder="1" applyAlignment="1">
      <alignment horizontal="center" vertical="center"/>
    </xf>
    <xf numFmtId="49" fontId="16" fillId="7" borderId="21" xfId="0" applyNumberFormat="1" applyFont="1" applyFill="1" applyBorder="1" applyAlignment="1">
      <alignment vertical="center" wrapText="1"/>
    </xf>
    <xf numFmtId="49" fontId="16" fillId="7" borderId="21" xfId="0" applyNumberFormat="1" applyFont="1" applyFill="1" applyBorder="1" applyAlignment="1">
      <alignment horizontal="center" vertical="center" wrapText="1"/>
    </xf>
    <xf numFmtId="14" fontId="14" fillId="7" borderId="21" xfId="0" applyNumberFormat="1" applyFont="1" applyFill="1" applyBorder="1" applyAlignment="1">
      <alignment horizontal="center" vertical="center" wrapText="1"/>
    </xf>
    <xf numFmtId="49" fontId="14" fillId="7" borderId="21" xfId="0" applyNumberFormat="1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left" vertical="center" wrapText="1"/>
    </xf>
    <xf numFmtId="164" fontId="14" fillId="7" borderId="21" xfId="0" applyNumberFormat="1" applyFont="1" applyFill="1" applyBorder="1" applyAlignment="1">
      <alignment vertical="center" wrapText="1"/>
    </xf>
    <xf numFmtId="164" fontId="16" fillId="6" borderId="21" xfId="0" applyNumberFormat="1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horizontal="left" vertical="center" wrapText="1"/>
    </xf>
    <xf numFmtId="49" fontId="16" fillId="7" borderId="22" xfId="0" applyNumberFormat="1" applyFont="1" applyFill="1" applyBorder="1" applyAlignment="1">
      <alignment horizontal="center" vertical="center"/>
    </xf>
    <xf numFmtId="49" fontId="16" fillId="7" borderId="22" xfId="0" applyNumberFormat="1" applyFont="1" applyFill="1" applyBorder="1" applyAlignment="1">
      <alignment vertical="center" wrapText="1"/>
    </xf>
    <xf numFmtId="49" fontId="16" fillId="7" borderId="22" xfId="0" applyNumberFormat="1" applyFont="1" applyFill="1" applyBorder="1" applyAlignment="1">
      <alignment horizontal="center" vertical="center" wrapText="1"/>
    </xf>
    <xf numFmtId="14" fontId="14" fillId="7" borderId="22" xfId="0" applyNumberFormat="1" applyFont="1" applyFill="1" applyBorder="1" applyAlignment="1">
      <alignment horizontal="center" vertical="center" wrapText="1"/>
    </xf>
    <xf numFmtId="49" fontId="14" fillId="7" borderId="22" xfId="0" applyNumberFormat="1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left" vertical="center" wrapText="1"/>
    </xf>
    <xf numFmtId="164" fontId="14" fillId="7" borderId="22" xfId="0" applyNumberFormat="1" applyFont="1" applyFill="1" applyBorder="1" applyAlignment="1">
      <alignment vertical="center" wrapText="1"/>
    </xf>
    <xf numFmtId="164" fontId="16" fillId="6" borderId="22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 wrapText="1"/>
    </xf>
    <xf numFmtId="14" fontId="14" fillId="8" borderId="15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49" fontId="16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164" fontId="14" fillId="0" borderId="14" xfId="0" applyNumberFormat="1" applyFont="1" applyBorder="1" applyAlignment="1">
      <alignment vertical="center"/>
    </xf>
    <xf numFmtId="0" fontId="16" fillId="6" borderId="11" xfId="0" applyFont="1" applyFill="1" applyBorder="1" applyAlignment="1">
      <alignment horizontal="left" vertical="center"/>
    </xf>
    <xf numFmtId="0" fontId="16" fillId="6" borderId="21" xfId="0" applyFont="1" applyFill="1" applyBorder="1" applyAlignment="1">
      <alignment horizontal="left" vertical="center" wrapText="1"/>
    </xf>
    <xf numFmtId="49" fontId="16" fillId="6" borderId="21" xfId="0" applyNumberFormat="1" applyFont="1" applyFill="1" applyBorder="1" applyAlignment="1">
      <alignment horizontal="center" vertical="center"/>
    </xf>
    <xf numFmtId="49" fontId="16" fillId="6" borderId="21" xfId="0" applyNumberFormat="1" applyFont="1" applyFill="1" applyBorder="1" applyAlignment="1">
      <alignment horizontal="left" vertical="center" wrapText="1"/>
    </xf>
    <xf numFmtId="49" fontId="16" fillId="6" borderId="21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left" vertical="center"/>
    </xf>
    <xf numFmtId="164" fontId="16" fillId="6" borderId="21" xfId="0" applyNumberFormat="1" applyFont="1" applyFill="1" applyBorder="1" applyAlignment="1">
      <alignment horizontal="left" vertical="center"/>
    </xf>
    <xf numFmtId="0" fontId="16" fillId="6" borderId="21" xfId="0" applyFont="1" applyFill="1" applyBorder="1" applyAlignment="1">
      <alignment horizontal="left" vertical="center"/>
    </xf>
    <xf numFmtId="2" fontId="14" fillId="0" borderId="15" xfId="0" applyNumberFormat="1" applyFont="1" applyBorder="1" applyAlignment="1">
      <alignment horizontal="left" vertical="center" wrapText="1"/>
    </xf>
    <xf numFmtId="164" fontId="14" fillId="4" borderId="15" xfId="0" applyNumberFormat="1" applyFont="1" applyFill="1" applyBorder="1" applyAlignment="1">
      <alignment horizontal="right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vertical="center" wrapText="1"/>
    </xf>
    <xf numFmtId="165" fontId="14" fillId="0" borderId="14" xfId="0" applyNumberFormat="1" applyFont="1" applyBorder="1" applyAlignment="1">
      <alignment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4" fillId="8" borderId="15" xfId="0" applyFont="1" applyFill="1" applyBorder="1" applyAlignment="1">
      <alignment wrapText="1"/>
    </xf>
    <xf numFmtId="0" fontId="14" fillId="4" borderId="15" xfId="0" applyFont="1" applyFill="1" applyBorder="1" applyAlignment="1">
      <alignment horizontal="left" vertical="center" wrapText="1"/>
    </xf>
    <xf numFmtId="164" fontId="14" fillId="4" borderId="15" xfId="0" applyNumberFormat="1" applyFont="1" applyFill="1" applyBorder="1" applyAlignment="1">
      <alignment vertical="center" wrapText="1"/>
    </xf>
    <xf numFmtId="0" fontId="14" fillId="4" borderId="15" xfId="0" applyFont="1" applyFill="1" applyBorder="1" applyAlignment="1">
      <alignment horizontal="center" vertical="center" wrapText="1"/>
    </xf>
    <xf numFmtId="14" fontId="14" fillId="8" borderId="14" xfId="0" applyNumberFormat="1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vertical="center" wrapText="1"/>
    </xf>
    <xf numFmtId="8" fontId="14" fillId="8" borderId="14" xfId="0" applyNumberFormat="1" applyFont="1" applyFill="1" applyBorder="1" applyAlignment="1">
      <alignment vertical="center" wrapText="1"/>
    </xf>
    <xf numFmtId="0" fontId="16" fillId="6" borderId="21" xfId="0" applyFont="1" applyFill="1" applyBorder="1" applyAlignment="1">
      <alignment horizontal="center" vertical="center" wrapText="1"/>
    </xf>
    <xf numFmtId="8" fontId="14" fillId="8" borderId="15" xfId="0" applyNumberFormat="1" applyFont="1" applyFill="1" applyBorder="1" applyAlignment="1">
      <alignment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165" fontId="14" fillId="7" borderId="21" xfId="0" applyNumberFormat="1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left" vertical="center"/>
    </xf>
    <xf numFmtId="0" fontId="16" fillId="6" borderId="22" xfId="0" applyFont="1" applyFill="1" applyBorder="1" applyAlignment="1">
      <alignment horizontal="left" vertical="center" wrapText="1"/>
    </xf>
    <xf numFmtId="49" fontId="16" fillId="6" borderId="22" xfId="0" applyNumberFormat="1" applyFont="1" applyFill="1" applyBorder="1" applyAlignment="1">
      <alignment horizontal="center" vertical="center"/>
    </xf>
    <xf numFmtId="49" fontId="16" fillId="6" borderId="22" xfId="0" applyNumberFormat="1" applyFont="1" applyFill="1" applyBorder="1" applyAlignment="1">
      <alignment horizontal="left" vertical="center" wrapText="1"/>
    </xf>
    <xf numFmtId="49" fontId="16" fillId="6" borderId="22" xfId="0" applyNumberFormat="1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left" vertical="center"/>
    </xf>
    <xf numFmtId="164" fontId="16" fillId="6" borderId="22" xfId="0" applyNumberFormat="1" applyFont="1" applyFill="1" applyBorder="1" applyAlignment="1">
      <alignment horizontal="left" vertical="center"/>
    </xf>
    <xf numFmtId="0" fontId="16" fillId="6" borderId="22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 wrapText="1"/>
    </xf>
    <xf numFmtId="164" fontId="16" fillId="6" borderId="21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165" fontId="14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9" fillId="9" borderId="23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49" fontId="19" fillId="9" borderId="13" xfId="0" applyNumberFormat="1" applyFont="1" applyFill="1" applyBorder="1" applyAlignment="1">
      <alignment horizontal="center" vertical="center" wrapText="1"/>
    </xf>
    <xf numFmtId="164" fontId="19" fillId="9" borderId="13" xfId="1" applyNumberFormat="1" applyFont="1" applyFill="1" applyBorder="1" applyAlignment="1">
      <alignment horizontal="center" vertical="center" wrapText="1"/>
    </xf>
    <xf numFmtId="165" fontId="19" fillId="9" borderId="13" xfId="1" applyNumberFormat="1" applyFont="1" applyFill="1" applyBorder="1" applyAlignment="1">
      <alignment horizontal="center" vertical="center" wrapText="1"/>
    </xf>
    <xf numFmtId="167" fontId="14" fillId="4" borderId="14" xfId="0" applyNumberFormat="1" applyFont="1" applyFill="1" applyBorder="1" applyAlignment="1">
      <alignment horizontal="center" vertical="center" wrapText="1"/>
    </xf>
    <xf numFmtId="2" fontId="14" fillId="4" borderId="14" xfId="0" applyNumberFormat="1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left" vertical="center" wrapText="1"/>
    </xf>
    <xf numFmtId="165" fontId="16" fillId="6" borderId="21" xfId="0" applyNumberFormat="1" applyFont="1" applyFill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164" fontId="14" fillId="0" borderId="15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14" fontId="20" fillId="0" borderId="0" xfId="0" applyNumberFormat="1" applyFont="1" applyAlignment="1">
      <alignment horizontal="center"/>
    </xf>
    <xf numFmtId="0" fontId="27" fillId="0" borderId="0" xfId="0" applyFont="1" applyAlignment="1">
      <alignment horizontal="right" vertical="center"/>
    </xf>
    <xf numFmtId="165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27" fillId="0" borderId="0" xfId="0" applyNumberFormat="1" applyFont="1" applyAlignment="1">
      <alignment horizontal="right" vertical="center"/>
    </xf>
    <xf numFmtId="44" fontId="27" fillId="0" borderId="0" xfId="0" applyNumberFormat="1" applyFont="1" applyAlignment="1">
      <alignment horizontal="right" vertical="center"/>
    </xf>
    <xf numFmtId="164" fontId="14" fillId="3" borderId="0" xfId="0" applyNumberFormat="1" applyFont="1" applyFill="1" applyAlignment="1">
      <alignment vertical="center" wrapText="1"/>
    </xf>
    <xf numFmtId="0" fontId="12" fillId="0" borderId="23" xfId="0" applyFont="1" applyBorder="1" applyAlignment="1">
      <alignment horizontal="right"/>
    </xf>
    <xf numFmtId="0" fontId="27" fillId="0" borderId="13" xfId="0" applyFont="1" applyBorder="1"/>
    <xf numFmtId="168" fontId="27" fillId="0" borderId="13" xfId="0" applyNumberFormat="1" applyFont="1" applyBorder="1"/>
    <xf numFmtId="8" fontId="27" fillId="0" borderId="13" xfId="0" applyNumberFormat="1" applyFont="1" applyBorder="1"/>
    <xf numFmtId="0" fontId="4" fillId="8" borderId="10" xfId="0" applyFont="1" applyFill="1" applyBorder="1"/>
    <xf numFmtId="0" fontId="9" fillId="0" borderId="15" xfId="0" applyFont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169" fontId="0" fillId="0" borderId="10" xfId="0" applyNumberFormat="1" applyBorder="1"/>
    <xf numFmtId="44" fontId="0" fillId="0" borderId="10" xfId="1" applyFont="1" applyFill="1" applyBorder="1"/>
    <xf numFmtId="49" fontId="0" fillId="3" borderId="7" xfId="0" applyNumberFormat="1" applyFill="1" applyBorder="1" applyAlignment="1">
      <alignment horizontal="center" vertical="center" wrapText="1"/>
    </xf>
    <xf numFmtId="0" fontId="29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vertical="center"/>
    </xf>
    <xf numFmtId="14" fontId="29" fillId="0" borderId="15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28" fillId="0" borderId="5" xfId="0" applyFont="1" applyBorder="1" applyAlignment="1">
      <alignment vertical="center" wrapText="1"/>
    </xf>
    <xf numFmtId="14" fontId="30" fillId="0" borderId="0" xfId="0" applyNumberFormat="1" applyFont="1" applyAlignment="1">
      <alignment horizontal="center" vertical="center"/>
    </xf>
    <xf numFmtId="14" fontId="31" fillId="0" borderId="0" xfId="0" applyNumberFormat="1" applyFont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4" fillId="0" borderId="10" xfId="0" applyNumberFormat="1" applyFont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/>
    </xf>
    <xf numFmtId="14" fontId="14" fillId="4" borderId="10" xfId="0" applyNumberFormat="1" applyFont="1" applyFill="1" applyBorder="1" applyAlignment="1">
      <alignment horizontal="center" vertical="center" wrapText="1"/>
    </xf>
    <xf numFmtId="14" fontId="32" fillId="0" borderId="2" xfId="0" applyNumberFormat="1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left" vertical="center"/>
    </xf>
    <xf numFmtId="165" fontId="14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14" fontId="14" fillId="4" borderId="14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164" fontId="14" fillId="3" borderId="14" xfId="0" applyNumberFormat="1" applyFont="1" applyFill="1" applyBorder="1" applyAlignment="1">
      <alignment horizontal="right" vertical="center" wrapText="1"/>
    </xf>
    <xf numFmtId="8" fontId="14" fillId="0" borderId="10" xfId="0" applyNumberFormat="1" applyFont="1" applyBorder="1" applyAlignment="1">
      <alignment vertical="center" wrapText="1"/>
    </xf>
    <xf numFmtId="167" fontId="1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right"/>
    </xf>
    <xf numFmtId="167" fontId="14" fillId="0" borderId="23" xfId="0" applyNumberFormat="1" applyFont="1" applyBorder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33" fillId="9" borderId="18" xfId="0" applyFont="1" applyFill="1" applyBorder="1" applyAlignment="1">
      <alignment horizontal="right"/>
    </xf>
    <xf numFmtId="0" fontId="19" fillId="9" borderId="24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 wrapText="1"/>
    </xf>
    <xf numFmtId="2" fontId="13" fillId="0" borderId="27" xfId="0" applyNumberFormat="1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7" xfId="0" applyFont="1" applyBorder="1" applyAlignment="1">
      <alignment vertical="center" wrapText="1"/>
    </xf>
    <xf numFmtId="0" fontId="28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6" fillId="6" borderId="29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5" fillId="0" borderId="2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23" fillId="3" borderId="28" xfId="0" applyFont="1" applyFill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24" fillId="8" borderId="27" xfId="0" applyFont="1" applyFill="1" applyBorder="1" applyAlignment="1">
      <alignment vertical="center" wrapText="1"/>
    </xf>
    <xf numFmtId="0" fontId="14" fillId="8" borderId="27" xfId="0" applyFont="1" applyFill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167" fontId="14" fillId="0" borderId="27" xfId="0" applyNumberFormat="1" applyFont="1" applyBorder="1" applyAlignment="1">
      <alignment vertical="center" wrapText="1"/>
    </xf>
    <xf numFmtId="0" fontId="14" fillId="8" borderId="27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left" vertical="center" wrapText="1"/>
    </xf>
    <xf numFmtId="0" fontId="14" fillId="7" borderId="3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</cellXfs>
  <cellStyles count="4">
    <cellStyle name="Dobry" xfId="2" builtinId="26"/>
    <cellStyle name="Hyperlink" xfId="3" xr:uid="{00000000-0005-0000-0000-000001000000}"/>
    <cellStyle name="Normalny" xfId="0" builtinId="0"/>
    <cellStyle name="Walutowy" xfId="1" builtinId="4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7" formatCode="[$-415]mmmm\ yy;@"/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Widok1" id="{FB0E163F-830E-47CC-88F6-C58718D57CF2}">
    <nsvFilter filterId="{00000000-0009-0000-0100-000001000000}" ref="A1:P99" tableId="1">
      <columnFilter colId="13" id="{00000000-0010-0000-0000-00000D000000}">
        <filter colId="13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37B5A2D1-153B-4154-9EA3-1D7827929240}" userId="S::marczaks@slaskie.pl::3596e683-75da-4961-b6f9-17451fae8c8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P99" totalsRowShown="0" headerRowDxfId="44" dataDxfId="42" headerRowBorderDxfId="43" tableBorderDxfId="41" totalsRowBorderDxfId="40">
  <autoFilter ref="A1:P99" xr:uid="{00000000-0009-0000-0100-000001000000}"/>
  <tableColumns count="16">
    <tableColumn id="1" xr3:uid="{00000000-0010-0000-0000-000001000000}" name="CS" dataDxfId="39" totalsRowDxfId="38">
      <calculatedColumnFormula>_xlfn.IFNA(VLOOKUP(Tabela1[[#This Row],[NR DZIAŁANIA]],lista!$A$2:$E$111,2,FALSE),"")</calculatedColumnFormula>
    </tableColumn>
    <tableColumn id="2" xr3:uid="{00000000-0010-0000-0000-000002000000}" name="NAZWA CELU SZCZEGÓŁOWEGO" dataDxfId="37" totalsRowDxfId="36">
      <calculatedColumnFormula>_xlfn.IFNA(VLOOKUP(Tabela1[[#This Row],[NR DZIAŁANIA]],lista!$A$2:$E$111,3,FALSE),"")</calculatedColumnFormula>
    </tableColumn>
    <tableColumn id="3" xr3:uid="{00000000-0010-0000-0000-000003000000}" name="NR DZIAŁANIA" dataDxfId="35" totalsRowDxfId="34"/>
    <tableColumn id="4" xr3:uid="{00000000-0010-0000-0000-000004000000}" name="NAZWA DZIAŁANIA" dataDxfId="33" totalsRowDxfId="32">
      <calculatedColumnFormula>_xlfn.IFNA(VLOOKUP(Tabela1[[#This Row],[NR DZIAŁANIA]],lista!$A$2:$E$111,4,FALSE),"")</calculatedColumnFormula>
    </tableColumn>
    <tableColumn id="15" xr3:uid="{AF422829-B078-471F-8C24-265D56293F41}" name="TYTUŁ NABORU" dataDxfId="31" totalsRowDxfId="30"/>
    <tableColumn id="5" xr3:uid="{00000000-0010-0000-0000-000005000000}" name=" TERMIN ROZPOCZĘCIA NABORU" dataDxfId="29" totalsRowDxfId="28"/>
    <tableColumn id="6" xr3:uid="{00000000-0010-0000-0000-000006000000}" name=" TERMIN ZAKOŃCZENIA NABORU " dataDxfId="27" totalsRowDxfId="26"/>
    <tableColumn id="7" xr3:uid="{00000000-0010-0000-0000-000007000000}" name="TYP PROJEKTÓW" dataDxfId="25" totalsRowDxfId="24"/>
    <tableColumn id="8" xr3:uid="{00000000-0010-0000-0000-000008000000}" name="WNIOSKODAWCA" dataDxfId="23" totalsRowDxfId="22"/>
    <tableColumn id="9" xr3:uid="{00000000-0010-0000-0000-000009000000}" name="KWOTA PRZEZNACZONA NA DOFINANSOWANIE PROJEKTÓW [PLN]" dataDxfId="21" totalsRowDxfId="20"/>
    <tableColumn id="10" xr3:uid="{00000000-0010-0000-0000-00000A000000}" name="KWOTA PRZEZNACZONA NA DOFINANSOWANIE PROJEKTÓW [EUR]" dataDxfId="19" totalsRowDxfId="18">
      <calculatedColumnFormula>Tabela1[[#This Row],[KWOTA PRZEZNACZONA NA DOFINANSOWANIE PROJEKTÓW '[PLN']]]/4.45</calculatedColumnFormula>
    </tableColumn>
    <tableColumn id="11" xr3:uid="{00000000-0010-0000-0000-00000B000000}" name="SPOSÓB WYBORU" dataDxfId="17" totalsRowDxfId="16"/>
    <tableColumn id="12" xr3:uid="{00000000-0010-0000-0000-00000C000000}" name="OBSZAR GEOGRAFICZNY" dataDxfId="15" totalsRowDxfId="14"/>
    <tableColumn id="13" xr3:uid="{00000000-0010-0000-0000-00000D000000}" name="INSTYTUCJA OGŁASZAJĄCA NABÓR" dataDxfId="13" totalsRowDxfId="12">
      <calculatedColumnFormula>_xlfn.IFNA(VLOOKUP(Tabela1[[#This Row],[NR DZIAŁANIA]],lista!$A$2:$E$111,5,FALSE),"")</calculatedColumnFormula>
    </tableColumn>
    <tableColumn id="14" xr3:uid="{00000000-0010-0000-0000-00000E000000}" name="DODATKOWE INFORMACJE" dataDxfId="11" totalsRowDxfId="10"/>
    <tableColumn id="16" xr3:uid="{E801DE9C-58FA-4882-8E20-62B76E8D1B01}" name="Kolumna1" dataDxfId="9" totalsRowDxfId="8">
      <calculatedColumnFormula>F2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E111" totalsRowShown="0" headerRowBorderDxfId="7" tableBorderDxfId="6" totalsRowBorderDxfId="5">
  <autoFilter ref="A1:E111" xr:uid="{00000000-0009-0000-0100-000002000000}"/>
  <tableColumns count="5">
    <tableColumn id="1" xr3:uid="{00000000-0010-0000-0100-000001000000}" name="D" dataDxfId="4"/>
    <tableColumn id="2" xr3:uid="{00000000-0010-0000-0100-000002000000}" name="RSO" dataDxfId="3"/>
    <tableColumn id="3" xr3:uid="{00000000-0010-0000-0100-000003000000}" name="RSO.T" dataDxfId="2"/>
    <tableColumn id="4" xr3:uid="{00000000-0010-0000-0100-000004000000}" name="D.T" dataDxfId="1"/>
    <tableColumn id="5" xr3:uid="{00000000-0010-0000-0100-000005000000}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4-05-28T06:31:01.83" personId="{37B5A2D1-153B-4154-9EA3-1D7827929240}" id="{34749051-77DF-408B-960D-955FE2C0FDB1}">
    <text>jeśli w danym działaniu będzie więcej niż jeden nabór</text>
  </threadedComment>
  <threadedComment ref="F1" dT="2023-06-12T10:02:28.66" personId="{37B5A2D1-153B-4154-9EA3-1D7827929240}" id="{BD05B4E9-533D-442C-BF1E-4587BF569BF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G1" dT="2023-06-12T10:02:54.42" personId="{37B5A2D1-153B-4154-9EA3-1D7827929240}" id="{163B21B8-0858-4D5B-911D-8A18C8A84CF0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H1" dT="2023-06-12T10:03:31.05" personId="{37B5A2D1-153B-4154-9EA3-1D7827929240}" id="{8D4BBC90-638A-44F4-9408-5EF4570D2CFA}">
    <text>Wskazane typy powinny być spójne z informacjami wskazanymi w SZOP</text>
  </threadedComment>
  <threadedComment ref="I1" dT="2023-06-12T10:03:59.38" personId="{37B5A2D1-153B-4154-9EA3-1D7827929240}" id="{BC391831-FCC2-4AB9-A3AB-4986CA7BE373}">
    <text>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ext>
  </threadedComment>
  <threadedComment ref="J1" dT="2023-06-12T10:01:13.47" personId="{37B5A2D1-153B-4154-9EA3-1D7827929240}" id="{3D1B4332-33C8-4241-B65F-BE3865DD3D72}">
    <text>Środki UE w PLN</text>
  </threadedComment>
  <threadedComment ref="K1" dT="2023-06-12T10:01:29.09" personId="{37B5A2D1-153B-4154-9EA3-1D7827929240}" id="{78DEE236-C0EF-40DE-BC70-BFA4EB63E65C}">
    <text>Środki UE w EUR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microsoft.com/office/2017/10/relationships/threadedComment" Target="../threadedComments/threadedComment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9/04/relationships/namedSheetView" Target="../namedSheetViews/namedSheetView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C1" zoomScale="60" zoomScaleNormal="60" zoomScalePageLayoutView="40" workbookViewId="0">
      <selection activeCell="M3" sqref="M3"/>
    </sheetView>
  </sheetViews>
  <sheetFormatPr defaultRowHeight="15.6" outlineLevelCol="1" x14ac:dyDescent="0.3"/>
  <cols>
    <col min="1" max="1" width="11.44140625" style="24" customWidth="1" outlineLevel="1"/>
    <col min="2" max="2" width="47" style="25" customWidth="1" outlineLevel="1"/>
    <col min="3" max="3" width="13.88671875" style="26" customWidth="1"/>
    <col min="4" max="4" width="28.5546875" style="25" customWidth="1"/>
    <col min="5" max="5" width="28.5546875" style="91" customWidth="1"/>
    <col min="6" max="6" width="19" style="35" customWidth="1"/>
    <col min="7" max="7" width="21.6640625" style="35" customWidth="1"/>
    <col min="8" max="8" width="74.5546875" customWidth="1" outlineLevel="1"/>
    <col min="9" max="9" width="48.5546875" customWidth="1" outlineLevel="1"/>
    <col min="10" max="10" width="25.88671875" style="44" customWidth="1"/>
    <col min="11" max="11" width="26.109375" style="44" customWidth="1"/>
    <col min="12" max="12" width="22.109375" customWidth="1" outlineLevel="1"/>
    <col min="13" max="13" width="30.6640625" customWidth="1" outlineLevel="1"/>
    <col min="14" max="14" width="32.5546875" style="42" customWidth="1" outlineLevel="1"/>
    <col min="15" max="15" width="56.44140625" customWidth="1" outlineLevel="1"/>
    <col min="16" max="16" width="27.109375" style="261" hidden="1" customWidth="1"/>
    <col min="17" max="17" width="16.6640625" customWidth="1"/>
    <col min="18" max="18" width="14.33203125" bestFit="1" customWidth="1"/>
  </cols>
  <sheetData>
    <row r="1" spans="1:17" s="47" customFormat="1" ht="93.75" customHeight="1" x14ac:dyDescent="0.35">
      <c r="A1" s="194" t="s">
        <v>0</v>
      </c>
      <c r="B1" s="195" t="s">
        <v>1</v>
      </c>
      <c r="C1" s="196" t="s">
        <v>2</v>
      </c>
      <c r="D1" s="196" t="s">
        <v>3</v>
      </c>
      <c r="E1" s="196" t="s">
        <v>4</v>
      </c>
      <c r="F1" s="195" t="s">
        <v>5</v>
      </c>
      <c r="G1" s="196" t="s">
        <v>6</v>
      </c>
      <c r="H1" s="195" t="s">
        <v>7</v>
      </c>
      <c r="I1" s="195" t="s">
        <v>8</v>
      </c>
      <c r="J1" s="197" t="s">
        <v>9</v>
      </c>
      <c r="K1" s="198" t="s">
        <v>10</v>
      </c>
      <c r="L1" s="195" t="s">
        <v>11</v>
      </c>
      <c r="M1" s="195" t="s">
        <v>12</v>
      </c>
      <c r="N1" s="195" t="s">
        <v>13</v>
      </c>
      <c r="O1" s="263" t="s">
        <v>14</v>
      </c>
      <c r="P1" s="262" t="s">
        <v>15</v>
      </c>
      <c r="Q1" s="206"/>
    </row>
    <row r="2" spans="1:17" ht="30" customHeight="1" x14ac:dyDescent="0.3">
      <c r="A2" s="146" t="s">
        <v>16</v>
      </c>
      <c r="B2" s="147"/>
      <c r="C2" s="148"/>
      <c r="D2" s="149"/>
      <c r="E2" s="150"/>
      <c r="F2" s="151"/>
      <c r="G2" s="151"/>
      <c r="H2" s="147"/>
      <c r="I2" s="152"/>
      <c r="J2" s="153"/>
      <c r="K2" s="202"/>
      <c r="L2" s="151"/>
      <c r="M2" s="154"/>
      <c r="N2" s="147"/>
      <c r="O2" s="264"/>
      <c r="P2" s="257"/>
    </row>
    <row r="3" spans="1:17" ht="336" customHeight="1" x14ac:dyDescent="0.3">
      <c r="A3" s="138" t="str">
        <f>_xlfn.IFNA(VLOOKUP(Tabela1[[#This Row],[NR DZIAŁANIA]],lista!$A$2:$E$111,2,FALSE),"")</f>
        <v>RSO1.1</v>
      </c>
      <c r="B3" s="139" t="str">
        <f>_xlfn.IFNA(VLOOKUP(Tabela1[[#This Row],[NR DZIAŁANIA]],lista!$A$2:$E$111,3,FALSE),"")</f>
        <v xml:space="preserve">Rozwijanie i wzmacnianie zdolności badawczych i innowacyjnych oraz wykorzystywanie zaawansowanych technologii </v>
      </c>
      <c r="C3" s="140" t="s">
        <v>17</v>
      </c>
      <c r="D3" s="139" t="str">
        <f>_xlfn.IFNA(VLOOKUP(Tabela1[[#This Row],[NR DZIAŁANIA]],lista!$A$2:$E$111,4,FALSE),"")</f>
        <v>Badania, rozwój i innowacje w przedsiębiorstwach</v>
      </c>
      <c r="E3" s="141"/>
      <c r="F3" s="199">
        <v>45717</v>
      </c>
      <c r="G3" s="199">
        <v>45748</v>
      </c>
      <c r="H3" s="166" t="s">
        <v>18</v>
      </c>
      <c r="I3" s="144" t="s">
        <v>19</v>
      </c>
      <c r="J3" s="173">
        <v>93005000</v>
      </c>
      <c r="K3" s="159">
        <f>Tabela1[[#This Row],[KWOTA PRZEZNACZONA NA DOFINANSOWANIE PROJEKTÓW '[PLN']]]/4.45</f>
        <v>20900000</v>
      </c>
      <c r="L3" s="200" t="s">
        <v>20</v>
      </c>
      <c r="M3" s="201" t="s">
        <v>21</v>
      </c>
      <c r="N3" s="143" t="str">
        <f>_xlfn.IFNA(VLOOKUP(Tabela1[[#This Row],[NR DZIAŁANIA]],lista!$A$2:$E$111,5,FALSE),"")</f>
        <v>Śląskie Centrum Przedsiębiorczości</v>
      </c>
      <c r="O3" s="265" t="s">
        <v>22</v>
      </c>
      <c r="P3" s="259">
        <f t="shared" ref="P3:P33" si="0">F3</f>
        <v>45717</v>
      </c>
    </row>
    <row r="4" spans="1:17" s="34" customFormat="1" ht="87.6" customHeight="1" x14ac:dyDescent="0.3">
      <c r="A4" s="89" t="str">
        <f>_xlfn.IFNA(VLOOKUP(Tabela1[[#This Row],[NR DZIAŁANIA]],lista!$A$2:$E$111,2,FALSE),"")</f>
        <v>RSO1.2</v>
      </c>
      <c r="B4" s="50" t="str">
        <f>_xlfn.IFNA(VLOOKUP(Tabela1[[#This Row],[NR DZIAŁANIA]],lista!$A$2:$E$111,3,FALSE),"")</f>
        <v xml:space="preserve">Czerpanie korzyści z cyfryzacji dla obywateli, przedsiębiorstw, organizacji badawczych i instytucji publicznych </v>
      </c>
      <c r="C4" s="51" t="s">
        <v>23</v>
      </c>
      <c r="D4" s="50" t="str">
        <f>_xlfn.IFNA(VLOOKUP(Tabela1[[#This Row],[NR DZIAŁANIA]],lista!$A$2:$E$111,4,FALSE),"")</f>
        <v xml:space="preserve">Cyfryzacja administracji publicznej </v>
      </c>
      <c r="E4" s="74" t="s">
        <v>24</v>
      </c>
      <c r="F4" s="58">
        <v>45351</v>
      </c>
      <c r="G4" s="58">
        <v>45596</v>
      </c>
      <c r="H4" s="59" t="s">
        <v>25</v>
      </c>
      <c r="I4" s="54" t="s">
        <v>26</v>
      </c>
      <c r="J4" s="60">
        <v>8500000</v>
      </c>
      <c r="K4" s="56">
        <f>Tabela1[[#This Row],[KWOTA PRZEZNACZONA NA DOFINANSOWANIE PROJEKTÓW '[PLN']]]/4.45</f>
        <v>1910112.3595505618</v>
      </c>
      <c r="L4" s="61" t="s">
        <v>27</v>
      </c>
      <c r="M4" s="62" t="s">
        <v>21</v>
      </c>
      <c r="N4" s="49" t="str">
        <f>_xlfn.IFNA(VLOOKUP(Tabela1[[#This Row],[NR DZIAŁANIA]],lista!$A$2:$E$111,5,FALSE),"")</f>
        <v>Departament Europejskiego Funduszu Rozwoju Regionalnego</v>
      </c>
      <c r="O4" s="266"/>
      <c r="P4" s="257">
        <f t="shared" si="0"/>
        <v>45351</v>
      </c>
    </row>
    <row r="5" spans="1:17" ht="115.5" customHeight="1" x14ac:dyDescent="0.3">
      <c r="A5" s="89" t="str">
        <f>_xlfn.IFNA(VLOOKUP(Tabela1[[#This Row],[NR DZIAŁANIA]],lista!$A$2:$E$111,2,FALSE),"")</f>
        <v>RSO1.2</v>
      </c>
      <c r="B5" s="50" t="str">
        <f>_xlfn.IFNA(VLOOKUP(Tabela1[[#This Row],[NR DZIAŁANIA]],lista!$A$2:$E$111,3,FALSE),"")</f>
        <v xml:space="preserve">Czerpanie korzyści z cyfryzacji dla obywateli, przedsiębiorstw, organizacji badawczych i instytucji publicznych </v>
      </c>
      <c r="C5" s="51" t="s">
        <v>23</v>
      </c>
      <c r="D5" s="50" t="str">
        <f>_xlfn.IFNA(VLOOKUP(Tabela1[[#This Row],[NR DZIAŁANIA]],lista!$A$2:$E$111,4,FALSE),"")</f>
        <v xml:space="preserve">Cyfryzacja administracji publicznej </v>
      </c>
      <c r="E5" s="74"/>
      <c r="F5" s="58">
        <v>45463</v>
      </c>
      <c r="G5" s="58">
        <v>45596</v>
      </c>
      <c r="H5" s="59" t="s">
        <v>25</v>
      </c>
      <c r="I5" s="59" t="s">
        <v>28</v>
      </c>
      <c r="J5" s="60">
        <v>200250000</v>
      </c>
      <c r="K5" s="56">
        <f>Tabela1[[#This Row],[KWOTA PRZEZNACZONA NA DOFINANSOWANIE PROJEKTÓW '[PLN']]]/4.45</f>
        <v>45000000</v>
      </c>
      <c r="L5" s="61" t="s">
        <v>20</v>
      </c>
      <c r="M5" s="62" t="s">
        <v>21</v>
      </c>
      <c r="N5" s="49" t="str">
        <f>_xlfn.IFNA(VLOOKUP(Tabela1[[#This Row],[NR DZIAŁANIA]],lista!$A$2:$E$111,5,FALSE),"")</f>
        <v>Departament Europejskiego Funduszu Rozwoju Regionalnego</v>
      </c>
      <c r="O5" s="266"/>
      <c r="P5" s="257">
        <f t="shared" si="0"/>
        <v>45463</v>
      </c>
    </row>
    <row r="6" spans="1:17" ht="30" customHeight="1" x14ac:dyDescent="0.3">
      <c r="A6" s="146" t="s">
        <v>29</v>
      </c>
      <c r="B6" s="168"/>
      <c r="C6" s="150"/>
      <c r="D6" s="150"/>
      <c r="E6" s="150"/>
      <c r="F6" s="151"/>
      <c r="G6" s="151"/>
      <c r="H6" s="168"/>
      <c r="I6" s="152"/>
      <c r="J6" s="122"/>
      <c r="K6" s="122"/>
      <c r="L6" s="151"/>
      <c r="M6" s="154"/>
      <c r="N6" s="147"/>
      <c r="O6" s="267"/>
      <c r="P6" s="257"/>
    </row>
    <row r="7" spans="1:17" ht="136.5" customHeight="1" x14ac:dyDescent="0.3">
      <c r="A7" s="138" t="str">
        <f>_xlfn.IFNA(VLOOKUP(Tabela1[[#This Row],[NR DZIAŁANIA]],lista!$A$2:$E$111,2,FALSE),"")</f>
        <v>RSO2.1</v>
      </c>
      <c r="B7" s="143" t="str">
        <f>_xlfn.IFNA(VLOOKUP(Tabela1[[#This Row],[NR DZIAŁANIA]],lista!$A$2:$E$111,3,FALSE),"")</f>
        <v>Wspieranie efektywności energetycznej i redukcji emisji gazów cieplarnianych</v>
      </c>
      <c r="C7" s="140" t="s">
        <v>30</v>
      </c>
      <c r="D7" s="143" t="str">
        <f>_xlfn.IFNA(VLOOKUP(Tabela1[[#This Row],[NR DZIAŁANIA]],lista!$A$2:$E$111,4,FALSE),"")</f>
        <v xml:space="preserve">Efektywność energetyczna budynków użyteczności publicznej </v>
      </c>
      <c r="E7" s="141" t="s">
        <v>31</v>
      </c>
      <c r="F7" s="157">
        <v>45443</v>
      </c>
      <c r="G7" s="157">
        <v>45625</v>
      </c>
      <c r="H7" s="143" t="s">
        <v>32</v>
      </c>
      <c r="I7" s="190" t="s">
        <v>33</v>
      </c>
      <c r="J7" s="173">
        <v>120150000</v>
      </c>
      <c r="K7" s="191">
        <f>Tabela1[[#This Row],[KWOTA PRZEZNACZONA NA DOFINANSOWANIE PROJEKTÓW '[PLN']]]/4.45</f>
        <v>27000000</v>
      </c>
      <c r="L7" s="192" t="s">
        <v>20</v>
      </c>
      <c r="M7" s="193" t="s">
        <v>21</v>
      </c>
      <c r="N7" s="143" t="str">
        <f>_xlfn.IFNA(VLOOKUP(Tabela1[[#This Row],[NR DZIAŁANIA]],lista!$A$2:$E$111,5,FALSE),"")</f>
        <v>Departament Europejskiego Funduszu Rozwoju Regionalnego</v>
      </c>
      <c r="O7" s="268"/>
      <c r="P7" s="257">
        <f t="shared" si="0"/>
        <v>45443</v>
      </c>
    </row>
    <row r="8" spans="1:17" ht="153.75" customHeight="1" x14ac:dyDescent="0.3">
      <c r="A8" s="89" t="str">
        <f>_xlfn.IFNA(VLOOKUP(Tabela1[[#This Row],[NR DZIAŁANIA]],lista!$A$2:$E$111,2,FALSE),"")</f>
        <v>RSO2.1</v>
      </c>
      <c r="B8" s="49" t="str">
        <f>_xlfn.IFNA(VLOOKUP(Tabela1[[#This Row],[NR DZIAŁANIA]],lista!$A$2:$E$111,3,FALSE),"")</f>
        <v>Wspieranie efektywności energetycznej i redukcji emisji gazów cieplarnianych</v>
      </c>
      <c r="C8" s="51" t="s">
        <v>30</v>
      </c>
      <c r="D8" s="49" t="str">
        <f>_xlfn.IFNA(VLOOKUP(Tabela1[[#This Row],[NR DZIAŁANIA]],lista!$A$2:$E$111,4,FALSE),"")</f>
        <v xml:space="preserve">Efektywność energetyczna budynków użyteczności publicznej </v>
      </c>
      <c r="E8" s="74" t="s">
        <v>34</v>
      </c>
      <c r="F8" s="236">
        <v>45596</v>
      </c>
      <c r="G8" s="63">
        <v>45688</v>
      </c>
      <c r="H8" s="49" t="s">
        <v>32</v>
      </c>
      <c r="I8" s="49" t="s">
        <v>35</v>
      </c>
      <c r="J8" s="68">
        <v>23410754.460000001</v>
      </c>
      <c r="K8" s="65">
        <f>Tabela1[[#This Row],[KWOTA PRZEZNACZONA NA DOFINANSOWANIE PROJEKTÓW '[PLN']]]/4.45</f>
        <v>5260843.6988764042</v>
      </c>
      <c r="L8" s="66" t="s">
        <v>20</v>
      </c>
      <c r="M8" s="67" t="s">
        <v>21</v>
      </c>
      <c r="N8" s="49" t="str">
        <f>_xlfn.IFNA(VLOOKUP(Tabela1[[#This Row],[NR DZIAŁANIA]],lista!$A$2:$E$111,5,FALSE),"")</f>
        <v>Departament Europejskiego Funduszu Rozwoju Regionalnego</v>
      </c>
      <c r="O8" s="269" t="s">
        <v>36</v>
      </c>
      <c r="P8" s="257">
        <f t="shared" si="0"/>
        <v>45596</v>
      </c>
    </row>
    <row r="9" spans="1:17" s="43" customFormat="1" ht="149.25" customHeight="1" x14ac:dyDescent="0.3">
      <c r="A9" s="89" t="str">
        <f>_xlfn.IFNA(VLOOKUP(Tabela1[[#This Row],[NR DZIAŁANIA]],lista!$A$2:$E$111,2,FALSE),"")</f>
        <v>RSO2.1</v>
      </c>
      <c r="B9" s="49" t="str">
        <f>_xlfn.IFNA(VLOOKUP(Tabela1[[#This Row],[NR DZIAŁANIA]],lista!$A$2:$E$111,3,FALSE),"")</f>
        <v>Wspieranie efektywności energetycznej i redukcji emisji gazów cieplarnianych</v>
      </c>
      <c r="C9" s="51" t="s">
        <v>37</v>
      </c>
      <c r="D9" s="50" t="str">
        <f>_xlfn.IFNA(VLOOKUP(Tabela1[[#This Row],[NR DZIAŁANIA]],lista!$A$2:$E$111,4,FALSE),"")</f>
        <v>Efektywność energetyczna budynków użyteczności publicznej - ZIT</v>
      </c>
      <c r="E9" s="74" t="s">
        <v>38</v>
      </c>
      <c r="F9" s="63">
        <v>45380</v>
      </c>
      <c r="G9" s="63">
        <v>45565</v>
      </c>
      <c r="H9" s="59" t="s">
        <v>32</v>
      </c>
      <c r="I9" s="54" t="s">
        <v>39</v>
      </c>
      <c r="J9" s="52">
        <v>97977471.829999998</v>
      </c>
      <c r="K9" s="70">
        <f>Tabela1[[#This Row],[KWOTA PRZEZNACZONA NA DOFINANSOWANIE PROJEKTÓW '[PLN']]]/4.45</f>
        <v>22017409.399999999</v>
      </c>
      <c r="L9" s="71" t="s">
        <v>20</v>
      </c>
      <c r="M9" s="54" t="s">
        <v>21</v>
      </c>
      <c r="N9" s="49" t="str">
        <f>_xlfn.IFNA(VLOOKUP(Tabela1[[#This Row],[NR DZIAŁANIA]],lista!$A$2:$E$111,5,FALSE),"")</f>
        <v>Departament Europejskiego Funduszu Rozwoju Regionalnego</v>
      </c>
      <c r="O9" s="270"/>
      <c r="P9" s="257">
        <f t="shared" si="0"/>
        <v>45380</v>
      </c>
    </row>
    <row r="10" spans="1:17" s="43" customFormat="1" ht="180" customHeight="1" x14ac:dyDescent="0.3">
      <c r="A10" s="89" t="str">
        <f>_xlfn.IFNA(VLOOKUP(Tabela1[[#This Row],[NR DZIAŁANIA]],lista!$A$2:$E$111,2,FALSE),"")</f>
        <v>RSO2.2</v>
      </c>
      <c r="B10" s="49" t="str">
        <f>_xlfn.IFNA(VLOOKUP(Tabela1[[#This Row],[NR DZIAŁANIA]],lista!$A$2:$E$111,3,FALSE),"")</f>
        <v>Wspieranie energii odnawialnej zgodnie z dyrektywą (UE) 2018/2001, w tym określonymi w niej kryteriami zrównowazonego rozwoju</v>
      </c>
      <c r="C10" s="51" t="s">
        <v>40</v>
      </c>
      <c r="D10" s="50" t="str">
        <f>_xlfn.IFNA(VLOOKUP(Tabela1[[#This Row],[NR DZIAŁANIA]],lista!$A$2:$E$111,4,FALSE),"")</f>
        <v>Odnawialne źródła energii</v>
      </c>
      <c r="E10" s="74" t="s">
        <v>34</v>
      </c>
      <c r="F10" s="63">
        <v>45596</v>
      </c>
      <c r="G10" s="63">
        <v>45688</v>
      </c>
      <c r="H10" s="49" t="s">
        <v>41</v>
      </c>
      <c r="I10" s="49" t="s">
        <v>39</v>
      </c>
      <c r="J10" s="52">
        <v>1825390</v>
      </c>
      <c r="K10" s="70">
        <f>Tabela1[[#This Row],[KWOTA PRZEZNACZONA NA DOFINANSOWANIE PROJEKTÓW '[PLN']]]/4.45</f>
        <v>410200</v>
      </c>
      <c r="L10" s="66" t="s">
        <v>20</v>
      </c>
      <c r="M10" s="49" t="s">
        <v>21</v>
      </c>
      <c r="N10" s="49" t="str">
        <f>_xlfn.IFNA(VLOOKUP(Tabela1[[#This Row],[NR DZIAŁANIA]],lista!$A$2:$E$111,5,FALSE),"")</f>
        <v>Departament Europejskiego Funduszu Rozwoju Regionalnego</v>
      </c>
      <c r="O10" s="269" t="s">
        <v>36</v>
      </c>
      <c r="P10" s="257">
        <f t="shared" si="0"/>
        <v>45596</v>
      </c>
    </row>
    <row r="11" spans="1:17" s="43" customFormat="1" ht="120" x14ac:dyDescent="0.3">
      <c r="A11" s="89" t="s">
        <v>42</v>
      </c>
      <c r="B11" s="49" t="s">
        <v>43</v>
      </c>
      <c r="C11" s="72" t="s">
        <v>44</v>
      </c>
      <c r="D11" s="49" t="s">
        <v>45</v>
      </c>
      <c r="E11" s="74"/>
      <c r="F11" s="76">
        <v>45625</v>
      </c>
      <c r="G11" s="76">
        <v>45716</v>
      </c>
      <c r="H11" s="49" t="s">
        <v>46</v>
      </c>
      <c r="I11" s="49" t="s">
        <v>47</v>
      </c>
      <c r="J11" s="73">
        <v>22250000</v>
      </c>
      <c r="K11" s="70">
        <f>Tabela1[[#This Row],[KWOTA PRZEZNACZONA NA DOFINANSOWANIE PROJEKTÓW '[PLN']]]/4.45</f>
        <v>5000000</v>
      </c>
      <c r="L11" s="74" t="s">
        <v>20</v>
      </c>
      <c r="M11" s="49" t="s">
        <v>48</v>
      </c>
      <c r="N11" s="49" t="s">
        <v>49</v>
      </c>
      <c r="O11" s="269" t="s">
        <v>50</v>
      </c>
      <c r="P11" s="257">
        <f t="shared" si="0"/>
        <v>45625</v>
      </c>
    </row>
    <row r="12" spans="1:17" ht="120" x14ac:dyDescent="0.3">
      <c r="A12" s="89" t="s">
        <v>42</v>
      </c>
      <c r="B12" s="49" t="s">
        <v>43</v>
      </c>
      <c r="C12" s="72" t="s">
        <v>44</v>
      </c>
      <c r="D12" s="49" t="s">
        <v>45</v>
      </c>
      <c r="E12" s="74"/>
      <c r="F12" s="76">
        <v>45625</v>
      </c>
      <c r="G12" s="76">
        <v>45716</v>
      </c>
      <c r="H12" s="49" t="s">
        <v>46</v>
      </c>
      <c r="I12" s="49" t="s">
        <v>47</v>
      </c>
      <c r="J12" s="73">
        <v>37825000</v>
      </c>
      <c r="K12" s="70">
        <f>Tabela1[[#This Row],[KWOTA PRZEZNACZONA NA DOFINANSOWANIE PROJEKTÓW '[PLN']]]/4.45</f>
        <v>8500000</v>
      </c>
      <c r="L12" s="74" t="s">
        <v>20</v>
      </c>
      <c r="M12" s="49" t="s">
        <v>51</v>
      </c>
      <c r="N12" s="49" t="s">
        <v>49</v>
      </c>
      <c r="O12" s="269"/>
      <c r="P12" s="257">
        <f t="shared" si="0"/>
        <v>45625</v>
      </c>
    </row>
    <row r="13" spans="1:17" ht="105" x14ac:dyDescent="0.3">
      <c r="A13" s="89" t="s">
        <v>42</v>
      </c>
      <c r="B13" s="49" t="s">
        <v>43</v>
      </c>
      <c r="C13" s="72" t="s">
        <v>44</v>
      </c>
      <c r="D13" s="49" t="s">
        <v>45</v>
      </c>
      <c r="E13" s="74"/>
      <c r="F13" s="76">
        <v>45716</v>
      </c>
      <c r="G13" s="76">
        <v>45777</v>
      </c>
      <c r="H13" s="49" t="s">
        <v>52</v>
      </c>
      <c r="I13" s="49" t="s">
        <v>47</v>
      </c>
      <c r="J13" s="73">
        <v>17800000</v>
      </c>
      <c r="K13" s="70">
        <f>Tabela1[[#This Row],[KWOTA PRZEZNACZONA NA DOFINANSOWANIE PROJEKTÓW '[PLN']]]/4.45</f>
        <v>4000000</v>
      </c>
      <c r="L13" s="74" t="s">
        <v>20</v>
      </c>
      <c r="M13" s="49" t="s">
        <v>48</v>
      </c>
      <c r="N13" s="49" t="s">
        <v>49</v>
      </c>
      <c r="O13" s="269"/>
      <c r="P13" s="257">
        <f t="shared" si="0"/>
        <v>45716</v>
      </c>
    </row>
    <row r="14" spans="1:17" s="43" customFormat="1" ht="108.75" customHeight="1" x14ac:dyDescent="0.3">
      <c r="A14" s="89" t="str">
        <f>_xlfn.IFNA(VLOOKUP(Tabela1[[#This Row],[NR DZIAŁANIA]],lista!$A$2:$E$111,2,FALSE),"")</f>
        <v>RSO2.6</v>
      </c>
      <c r="B14" s="50" t="str">
        <f>_xlfn.IFNA(VLOOKUP(Tabela1[[#This Row],[NR DZIAŁANIA]],lista!$A$2:$E$111,3,FALSE),"")</f>
        <v>Wspieranie transformacji w kierunku gospodarki o obiegu zamkniętym i gospodarki zasobooszczędnej</v>
      </c>
      <c r="C14" s="51" t="s">
        <v>53</v>
      </c>
      <c r="D14" s="50" t="str">
        <f>_xlfn.IFNA(VLOOKUP(Tabela1[[#This Row],[NR DZIAŁANIA]],lista!$A$2:$E$111,4,FALSE),"")</f>
        <v>Gospodarka odpadami komunalnymi</v>
      </c>
      <c r="E14" s="74"/>
      <c r="F14" s="63">
        <v>45596</v>
      </c>
      <c r="G14" s="63">
        <v>45688</v>
      </c>
      <c r="H14" s="49" t="s">
        <v>54</v>
      </c>
      <c r="I14" s="49" t="s">
        <v>55</v>
      </c>
      <c r="J14" s="75">
        <f xml:space="preserve"> 3787347.45*4.45</f>
        <v>16853696.1525</v>
      </c>
      <c r="K14" s="56">
        <f>Tabela1[[#This Row],[KWOTA PRZEZNACZONA NA DOFINANSOWANIE PROJEKTÓW '[PLN']]]/4.45</f>
        <v>3787347.4499999997</v>
      </c>
      <c r="L14" s="66" t="s">
        <v>20</v>
      </c>
      <c r="M14" s="62" t="s">
        <v>21</v>
      </c>
      <c r="N14" s="49" t="str">
        <f>_xlfn.IFNA(VLOOKUP(Tabela1[[#This Row],[NR DZIAŁANIA]],lista!$A$2:$E$111,5,FALSE),"")</f>
        <v>Departament Europejskiego Funduszu Rozwoju Regionalnego</v>
      </c>
      <c r="O14" s="271"/>
      <c r="P14" s="257">
        <f t="shared" si="0"/>
        <v>45596</v>
      </c>
    </row>
    <row r="15" spans="1:17" s="43" customFormat="1" ht="108.75" customHeight="1" x14ac:dyDescent="0.3">
      <c r="A15" s="89" t="str">
        <f>_xlfn.IFNA(VLOOKUP(Tabela1[[#This Row],[NR DZIAŁANIA]],lista!$A$2:$E$111,2,FALSE),"")</f>
        <v>RSO2.6</v>
      </c>
      <c r="B15" s="50" t="str">
        <f>_xlfn.IFNA(VLOOKUP(Tabela1[[#This Row],[NR DZIAŁANIA]],lista!$A$2:$E$111,3,FALSE),"")</f>
        <v>Wspieranie transformacji w kierunku gospodarki o obiegu zamkniętym i gospodarki zasobooszczędnej</v>
      </c>
      <c r="C15" s="51" t="s">
        <v>53</v>
      </c>
      <c r="D15" s="50" t="str">
        <f>_xlfn.IFNA(VLOOKUP(Tabela1[[#This Row],[NR DZIAŁANIA]],lista!$A$2:$E$111,4,FALSE),"")</f>
        <v>Gospodarka odpadami komunalnymi</v>
      </c>
      <c r="E15" s="74"/>
      <c r="F15" s="63">
        <v>45596</v>
      </c>
      <c r="G15" s="63">
        <v>45688</v>
      </c>
      <c r="H15" s="49" t="s">
        <v>54</v>
      </c>
      <c r="I15" s="49" t="s">
        <v>55</v>
      </c>
      <c r="J15" s="256">
        <v>39418100</v>
      </c>
      <c r="K15" s="56">
        <f>Tabela1[[#This Row],[KWOTA PRZEZNACZONA NA DOFINANSOWANIE PROJEKTÓW '[PLN']]]/4.45</f>
        <v>8858000</v>
      </c>
      <c r="L15" s="66" t="s">
        <v>20</v>
      </c>
      <c r="M15" s="49" t="s">
        <v>56</v>
      </c>
      <c r="N15" s="49" t="str">
        <f>_xlfn.IFNA(VLOOKUP(Tabela1[[#This Row],[NR DZIAŁANIA]],lista!$A$2:$E$111,5,FALSE),"")</f>
        <v>Departament Europejskiego Funduszu Rozwoju Regionalnego</v>
      </c>
      <c r="O15" s="265"/>
      <c r="P15" s="257">
        <f t="shared" si="0"/>
        <v>45596</v>
      </c>
    </row>
    <row r="16" spans="1:17" ht="101.4" customHeight="1" x14ac:dyDescent="0.3">
      <c r="A16" s="89" t="str">
        <f>_xlfn.IFNA(VLOOKUP(Tabela1[[#This Row],[NR DZIAŁANIA]],lista!$A$2:$E$111,2,FALSE),"")</f>
        <v>RSO2.7</v>
      </c>
      <c r="B16" s="50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16" s="51" t="s">
        <v>57</v>
      </c>
      <c r="D16" s="50" t="str">
        <f>_xlfn.IFNA(VLOOKUP(Tabela1[[#This Row],[NR DZIAŁANIA]],lista!$A$2:$E$111,4,FALSE),"")</f>
        <v>Ochrona przyrody i bioróżnorodność</v>
      </c>
      <c r="E16" s="74" t="s">
        <v>34</v>
      </c>
      <c r="F16" s="237">
        <v>45596</v>
      </c>
      <c r="G16" s="238">
        <v>45688</v>
      </c>
      <c r="H16" s="49" t="s">
        <v>58</v>
      </c>
      <c r="I16" s="49" t="s">
        <v>59</v>
      </c>
      <c r="J16" s="60">
        <f>1045299*4.45</f>
        <v>4651580.55</v>
      </c>
      <c r="K16" s="56">
        <f>Tabela1[[#This Row],[KWOTA PRZEZNACZONA NA DOFINANSOWANIE PROJEKTÓW '[PLN']]]/4.45</f>
        <v>1045298.9999999999</v>
      </c>
      <c r="L16" s="66" t="s">
        <v>20</v>
      </c>
      <c r="M16" s="67" t="s">
        <v>21</v>
      </c>
      <c r="N16" s="49" t="str">
        <f>_xlfn.IFNA(VLOOKUP(Tabela1[[#This Row],[NR DZIAŁANIA]],lista!$A$2:$E$111,5,FALSE),"")</f>
        <v>Departament Europejskiego Funduszu Rozwoju Regionalnego</v>
      </c>
      <c r="O16" s="272" t="s">
        <v>36</v>
      </c>
      <c r="P16" s="257">
        <f t="shared" si="0"/>
        <v>45596</v>
      </c>
    </row>
    <row r="17" spans="1:16" ht="109.2" customHeight="1" x14ac:dyDescent="0.3">
      <c r="A17" s="89" t="str">
        <f>_xlfn.IFNA(VLOOKUP(Tabela1[[#This Row],[NR DZIAŁANIA]],lista!$A$2:$E$111,2,FALSE),"")</f>
        <v>RSO2.7</v>
      </c>
      <c r="B17" s="50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17" s="51" t="s">
        <v>60</v>
      </c>
      <c r="D17" s="50" t="str">
        <f>_xlfn.IFNA(VLOOKUP(Tabela1[[#This Row],[NR DZIAŁANIA]],lista!$A$2:$E$111,4,FALSE),"")</f>
        <v>Ochrona przyrody i bioróżnorodność - ZIT</v>
      </c>
      <c r="E17" s="74" t="s">
        <v>61</v>
      </c>
      <c r="F17" s="76">
        <v>45504</v>
      </c>
      <c r="G17" s="63">
        <v>45596</v>
      </c>
      <c r="H17" s="49" t="s">
        <v>58</v>
      </c>
      <c r="I17" s="49" t="s">
        <v>59</v>
      </c>
      <c r="J17" s="75">
        <f>12304354*4.45*70%</f>
        <v>38328062.710000001</v>
      </c>
      <c r="K17" s="56">
        <f>Tabela1[[#This Row],[KWOTA PRZEZNACZONA NA DOFINANSOWANIE PROJEKTÓW '[PLN']]]/4.45</f>
        <v>8613047.8000000007</v>
      </c>
      <c r="L17" s="66" t="s">
        <v>20</v>
      </c>
      <c r="M17" s="67" t="s">
        <v>62</v>
      </c>
      <c r="N17" s="49" t="str">
        <f>_xlfn.IFNA(VLOOKUP(Tabela1[[#This Row],[NR DZIAŁANIA]],lista!$A$2:$E$111,5,FALSE),"")</f>
        <v>Departament Europejskiego Funduszu Rozwoju Regionalnego</v>
      </c>
      <c r="O17" s="273"/>
      <c r="P17" s="257">
        <f t="shared" si="0"/>
        <v>45504</v>
      </c>
    </row>
    <row r="18" spans="1:16" ht="138.75" customHeight="1" x14ac:dyDescent="0.3">
      <c r="A18" s="89" t="str">
        <f>_xlfn.IFNA(VLOOKUP(Tabela1[[#This Row],[NR DZIAŁANIA]],lista!$A$2:$E$111,2,FALSE),"")</f>
        <v>RSO2.7</v>
      </c>
      <c r="B18" s="50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18" s="51" t="s">
        <v>60</v>
      </c>
      <c r="D18" s="50" t="str">
        <f>_xlfn.IFNA(VLOOKUP(Tabela1[[#This Row],[NR DZIAŁANIA]],lista!$A$2:$E$111,4,FALSE),"")</f>
        <v>Ochrona przyrody i bioróżnorodność - ZIT</v>
      </c>
      <c r="E18" s="74" t="s">
        <v>63</v>
      </c>
      <c r="F18" s="63">
        <v>45596</v>
      </c>
      <c r="G18" s="63">
        <v>45747</v>
      </c>
      <c r="H18" s="49" t="s">
        <v>58</v>
      </c>
      <c r="I18" s="49" t="s">
        <v>59</v>
      </c>
      <c r="J18" s="255">
        <v>8900000</v>
      </c>
      <c r="K18" s="56">
        <f>Tabela1[[#This Row],[KWOTA PRZEZNACZONA NA DOFINANSOWANIE PROJEKTÓW '[PLN']]]/4.45</f>
        <v>2000000</v>
      </c>
      <c r="L18" s="66" t="s">
        <v>20</v>
      </c>
      <c r="M18" s="67" t="s">
        <v>64</v>
      </c>
      <c r="N18" s="49" t="str">
        <f>_xlfn.IFNA(VLOOKUP(Tabela1[[#This Row],[NR DZIAŁANIA]],lista!$A$2:$E$111,5,FALSE),"")</f>
        <v>Departament Europejskiego Funduszu Rozwoju Regionalnego</v>
      </c>
      <c r="O18" s="274"/>
      <c r="P18" s="257">
        <f t="shared" si="0"/>
        <v>45596</v>
      </c>
    </row>
    <row r="19" spans="1:16" ht="148.5" customHeight="1" x14ac:dyDescent="0.3">
      <c r="A19" s="89" t="str">
        <f>_xlfn.IFNA(VLOOKUP(Tabela1[[#This Row],[NR DZIAŁANIA]],lista!$A$2:$E$111,2,FALSE),"")</f>
        <v>RSO2.7</v>
      </c>
      <c r="B19" s="50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19" s="51" t="s">
        <v>60</v>
      </c>
      <c r="D19" s="50" t="str">
        <f>_xlfn.IFNA(VLOOKUP(Tabela1[[#This Row],[NR DZIAŁANIA]],lista!$A$2:$E$111,4,FALSE),"")</f>
        <v>Ochrona przyrody i bioróżnorodność - ZIT</v>
      </c>
      <c r="E19" s="74" t="s">
        <v>65</v>
      </c>
      <c r="F19" s="63">
        <v>45596</v>
      </c>
      <c r="G19" s="63">
        <v>45657</v>
      </c>
      <c r="H19" s="49" t="s">
        <v>58</v>
      </c>
      <c r="I19" s="49" t="s">
        <v>59</v>
      </c>
      <c r="J19" s="75">
        <f>2000000*4.45*70%</f>
        <v>6230000</v>
      </c>
      <c r="K19" s="56">
        <f>Tabela1[[#This Row],[KWOTA PRZEZNACZONA NA DOFINANSOWANIE PROJEKTÓW '[PLN']]]/4.45</f>
        <v>1400000</v>
      </c>
      <c r="L19" s="66" t="s">
        <v>20</v>
      </c>
      <c r="M19" s="67" t="s">
        <v>66</v>
      </c>
      <c r="N19" s="49" t="str">
        <f>_xlfn.IFNA(VLOOKUP(Tabela1[[#This Row],[NR DZIAŁANIA]],lista!$A$2:$E$111,5,FALSE),"")</f>
        <v>Departament Europejskiego Funduszu Rozwoju Regionalnego</v>
      </c>
      <c r="O19" s="273"/>
      <c r="P19" s="257">
        <f t="shared" si="0"/>
        <v>45596</v>
      </c>
    </row>
    <row r="20" spans="1:16" ht="110.25" customHeight="1" x14ac:dyDescent="0.3">
      <c r="A20" s="92" t="str">
        <f>_xlfn.IFNA(VLOOKUP(Tabela1[[#This Row],[NR DZIAŁANIA]],lista!$A$2:$E$111,2,FALSE),"")</f>
        <v>RSO2.7</v>
      </c>
      <c r="B20" s="93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0" s="94" t="s">
        <v>60</v>
      </c>
      <c r="D20" s="93" t="str">
        <f>_xlfn.IFNA(VLOOKUP(Tabela1[[#This Row],[NR DZIAŁANIA]],lista!$A$2:$E$111,4,FALSE),"")</f>
        <v>Ochrona przyrody i bioróżnorodność - ZIT</v>
      </c>
      <c r="E20" s="95" t="s">
        <v>38</v>
      </c>
      <c r="F20" s="135">
        <v>45716</v>
      </c>
      <c r="G20" s="135">
        <v>45807</v>
      </c>
      <c r="H20" s="97" t="s">
        <v>58</v>
      </c>
      <c r="I20" s="97" t="s">
        <v>59</v>
      </c>
      <c r="J20" s="187">
        <f>2000000*4.45*70%</f>
        <v>6230000</v>
      </c>
      <c r="K20" s="99">
        <f>Tabela1[[#This Row],[KWOTA PRZEZNACZONA NA DOFINANSOWANIE PROJEKTÓW '[PLN']]]/4.45</f>
        <v>1400000</v>
      </c>
      <c r="L20" s="188" t="s">
        <v>20</v>
      </c>
      <c r="M20" s="189" t="s">
        <v>67</v>
      </c>
      <c r="N20" s="97" t="str">
        <f>_xlfn.IFNA(VLOOKUP(Tabela1[[#This Row],[NR DZIAŁANIA]],lista!$A$2:$E$111,5,FALSE),"")</f>
        <v>Departament Europejskiego Funduszu Rozwoju Regionalnego</v>
      </c>
      <c r="O20" s="275"/>
      <c r="P20" s="257">
        <f t="shared" si="0"/>
        <v>45716</v>
      </c>
    </row>
    <row r="21" spans="1:16" ht="30" customHeight="1" x14ac:dyDescent="0.3">
      <c r="A21" s="146" t="s">
        <v>68</v>
      </c>
      <c r="B21" s="168"/>
      <c r="C21" s="150"/>
      <c r="D21" s="150"/>
      <c r="E21" s="150"/>
      <c r="F21" s="168"/>
      <c r="G21" s="168"/>
      <c r="H21" s="168"/>
      <c r="I21" s="185"/>
      <c r="J21" s="186"/>
      <c r="K21" s="186"/>
      <c r="L21" s="168"/>
      <c r="M21" s="147"/>
      <c r="N21" s="147"/>
      <c r="O21" s="267"/>
      <c r="P21" s="257"/>
    </row>
    <row r="22" spans="1:16" ht="126.75" customHeight="1" x14ac:dyDescent="0.3">
      <c r="A22" s="138" t="str">
        <f>_xlfn.IFNA(VLOOKUP(Tabela1[[#This Row],[NR DZIAŁANIA]],lista!$A$2:$E$111,2,FALSE),"")</f>
        <v>RSO2.8</v>
      </c>
      <c r="B22" s="139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2" s="140" t="s">
        <v>69</v>
      </c>
      <c r="D22" s="139" t="str">
        <f>_xlfn.IFNA(VLOOKUP(Tabela1[[#This Row],[NR DZIAŁANIA]],lista!$A$2:$E$111,4,FALSE),"")</f>
        <v>Zakup taboru autobusowego/ trolejbusowego - ZIT</v>
      </c>
      <c r="E22" s="141" t="s">
        <v>38</v>
      </c>
      <c r="F22" s="157">
        <v>45565</v>
      </c>
      <c r="G22" s="157">
        <v>45625</v>
      </c>
      <c r="H22" s="143" t="s">
        <v>70</v>
      </c>
      <c r="I22" s="143" t="s">
        <v>71</v>
      </c>
      <c r="J22" s="158">
        <v>22250000</v>
      </c>
      <c r="K22" s="159">
        <f>Tabela1[[#This Row],[KWOTA PRZEZNACZONA NA DOFINANSOWANIE PROJEKTÓW '[PLN']]]/4.45</f>
        <v>5000000</v>
      </c>
      <c r="L22" s="141" t="s">
        <v>20</v>
      </c>
      <c r="M22" s="139" t="s">
        <v>21</v>
      </c>
      <c r="N22" s="143" t="str">
        <f>_xlfn.IFNA(VLOOKUP(Tabela1[[#This Row],[NR DZIAŁANIA]],lista!$A$2:$E$111,5,FALSE),"")</f>
        <v>Departament Europejskiego Funduszu Rozwoju Regionalnego</v>
      </c>
      <c r="O22" s="276"/>
      <c r="P22" s="257">
        <f t="shared" si="0"/>
        <v>45565</v>
      </c>
    </row>
    <row r="23" spans="1:16" ht="126.75" customHeight="1" x14ac:dyDescent="0.3">
      <c r="A23" s="89" t="str">
        <f>_xlfn.IFNA(VLOOKUP(Tabela1[[#This Row],[NR DZIAŁANIA]],lista!$A$2:$E$111,2,FALSE),"")</f>
        <v>RSO2.8</v>
      </c>
      <c r="B23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3" s="51" t="s">
        <v>69</v>
      </c>
      <c r="D23" s="50" t="str">
        <f>_xlfn.IFNA(VLOOKUP(Tabela1[[#This Row],[NR DZIAŁANIA]],lista!$A$2:$E$111,4,FALSE),"")</f>
        <v>Zakup taboru autobusowego/ trolejbusowego - ZIT</v>
      </c>
      <c r="E23" s="74" t="s">
        <v>61</v>
      </c>
      <c r="F23" s="78">
        <v>45869</v>
      </c>
      <c r="G23" s="78">
        <v>45930</v>
      </c>
      <c r="H23" s="143" t="s">
        <v>72</v>
      </c>
      <c r="I23" s="143" t="s">
        <v>71</v>
      </c>
      <c r="J23" s="60">
        <v>80100000</v>
      </c>
      <c r="K23" s="56">
        <f>Tabela1[[#This Row],[KWOTA PRZEZNACZONA NA DOFINANSOWANIE PROJEKTÓW '[PLN']]]/4.45</f>
        <v>18000000</v>
      </c>
      <c r="L23" s="141" t="s">
        <v>20</v>
      </c>
      <c r="M23" s="139" t="s">
        <v>21</v>
      </c>
      <c r="N23" s="49" t="str">
        <f>_xlfn.IFNA(VLOOKUP(Tabela1[[#This Row],[NR DZIAŁANIA]],lista!$A$2:$E$111,5,FALSE),"")</f>
        <v>Departament Europejskiego Funduszu Rozwoju Regionalnego</v>
      </c>
      <c r="O23" s="277"/>
      <c r="P23" s="257">
        <f t="shared" si="0"/>
        <v>45869</v>
      </c>
    </row>
    <row r="24" spans="1:16" ht="126.75" customHeight="1" x14ac:dyDescent="0.3">
      <c r="A24" s="89" t="str">
        <f>_xlfn.IFNA(VLOOKUP(Tabela1[[#This Row],[NR DZIAŁANIA]],lista!$A$2:$E$111,2,FALSE),"")</f>
        <v>RSO2.8</v>
      </c>
      <c r="B24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4" s="51" t="s">
        <v>69</v>
      </c>
      <c r="D24" s="50" t="str">
        <f>_xlfn.IFNA(VLOOKUP(Tabela1[[#This Row],[NR DZIAŁANIA]],lista!$A$2:$E$111,4,FALSE),"")</f>
        <v>Zakup taboru autobusowego/ trolejbusowego - ZIT</v>
      </c>
      <c r="E24" s="74" t="s">
        <v>65</v>
      </c>
      <c r="F24" s="239">
        <v>45961</v>
      </c>
      <c r="G24" s="239">
        <v>46011</v>
      </c>
      <c r="H24" s="49" t="s">
        <v>70</v>
      </c>
      <c r="I24" s="49" t="s">
        <v>71</v>
      </c>
      <c r="J24" s="60">
        <v>18249984</v>
      </c>
      <c r="K24" s="56">
        <f>Tabela1[[#This Row],[KWOTA PRZEZNACZONA NA DOFINANSOWANIE PROJEKTÓW '[PLN']]]/4.45</f>
        <v>4101120</v>
      </c>
      <c r="L24" s="141" t="s">
        <v>20</v>
      </c>
      <c r="M24" s="139" t="s">
        <v>21</v>
      </c>
      <c r="N24" s="49" t="str">
        <f>_xlfn.IFNA(VLOOKUP(Tabela1[[#This Row],[NR DZIAŁANIA]],lista!$A$2:$E$111,5,FALSE),"")</f>
        <v>Departament Europejskiego Funduszu Rozwoju Regionalnego</v>
      </c>
      <c r="O24" s="277"/>
      <c r="P24" s="257">
        <f t="shared" si="0"/>
        <v>45961</v>
      </c>
    </row>
    <row r="25" spans="1:16" ht="126.75" customHeight="1" x14ac:dyDescent="0.3">
      <c r="A25" s="89" t="str">
        <f>_xlfn.IFNA(VLOOKUP(Tabela1[[#This Row],[NR DZIAŁANIA]],lista!$A$2:$E$111,2,FALSE),"")</f>
        <v>RSO2.8</v>
      </c>
      <c r="B25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5" s="51" t="s">
        <v>73</v>
      </c>
      <c r="D25" s="50" t="str">
        <f>_xlfn.IFNA(VLOOKUP(Tabela1[[#This Row],[NR DZIAŁANIA]],lista!$A$2:$E$111,4,FALSE),"")</f>
        <v>Zrównoważona multimodalna mobilność miejska  - ZIT</v>
      </c>
      <c r="E25" s="74" t="s">
        <v>38</v>
      </c>
      <c r="F25" s="63">
        <v>45380</v>
      </c>
      <c r="G25" s="58">
        <v>45565</v>
      </c>
      <c r="H25" s="49" t="s">
        <v>74</v>
      </c>
      <c r="I25" s="62" t="s">
        <v>75</v>
      </c>
      <c r="J25" s="60">
        <v>68068579.5</v>
      </c>
      <c r="K25" s="56">
        <f>Tabela1[[#This Row],[KWOTA PRZEZNACZONA NA DOFINANSOWANIE PROJEKTÓW '[PLN']]]/4.45</f>
        <v>15296310</v>
      </c>
      <c r="L25" s="74" t="s">
        <v>20</v>
      </c>
      <c r="M25" s="50" t="s">
        <v>21</v>
      </c>
      <c r="N25" s="49" t="str">
        <f>_xlfn.IFNA(VLOOKUP(Tabela1[[#This Row],[NR DZIAŁANIA]],lista!$A$2:$E$111,5,FALSE),"")</f>
        <v>Departament Europejskiego Funduszu Rozwoju Regionalnego</v>
      </c>
      <c r="O25" s="273"/>
      <c r="P25" s="257">
        <f t="shared" si="0"/>
        <v>45380</v>
      </c>
    </row>
    <row r="26" spans="1:16" s="43" customFormat="1" ht="126.75" customHeight="1" x14ac:dyDescent="0.3">
      <c r="A26" s="89" t="str">
        <f>_xlfn.IFNA(VLOOKUP(Tabela1[[#This Row],[NR DZIAŁANIA]],lista!$A$2:$E$111,2,FALSE),"")</f>
        <v>RSO2.8</v>
      </c>
      <c r="B26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6" s="51" t="s">
        <v>73</v>
      </c>
      <c r="D26" s="50" t="str">
        <f>_xlfn.IFNA(VLOOKUP(Tabela1[[#This Row],[NR DZIAŁANIA]],lista!$A$2:$E$111,4,FALSE),"")</f>
        <v>Zrównoważona multimodalna mobilność miejska  - ZIT</v>
      </c>
      <c r="E26" s="74" t="s">
        <v>76</v>
      </c>
      <c r="F26" s="78">
        <v>45869</v>
      </c>
      <c r="G26" s="78">
        <v>45930</v>
      </c>
      <c r="H26" s="49" t="s">
        <v>74</v>
      </c>
      <c r="I26" s="49" t="s">
        <v>75</v>
      </c>
      <c r="J26" s="60">
        <v>120150000</v>
      </c>
      <c r="K26" s="56">
        <f>Tabela1[[#This Row],[KWOTA PRZEZNACZONA NA DOFINANSOWANIE PROJEKTÓW '[PLN']]]/4.45</f>
        <v>27000000</v>
      </c>
      <c r="L26" s="241" t="s">
        <v>20</v>
      </c>
      <c r="M26" s="56" t="s">
        <v>21</v>
      </c>
      <c r="N26" s="49" t="str">
        <f>_xlfn.IFNA(VLOOKUP(Tabela1[[#This Row],[NR DZIAŁANIA]],lista!$A$2:$E$111,5,FALSE),"")</f>
        <v>Departament Europejskiego Funduszu Rozwoju Regionalnego</v>
      </c>
      <c r="O26" s="270"/>
      <c r="P26" s="257">
        <f t="shared" si="0"/>
        <v>45869</v>
      </c>
    </row>
    <row r="27" spans="1:16" ht="126.75" customHeight="1" x14ac:dyDescent="0.3">
      <c r="A27" s="89" t="str">
        <f>_xlfn.IFNA(VLOOKUP(Tabela1[[#This Row],[NR DZIAŁANIA]],lista!$A$2:$E$111,2,FALSE),"")</f>
        <v>RSO2.8</v>
      </c>
      <c r="B27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7" s="51" t="s">
        <v>77</v>
      </c>
      <c r="D27" s="50" t="str">
        <f>_xlfn.IFNA(VLOOKUP(Tabela1[[#This Row],[NR DZIAŁANIA]],lista!$A$2:$E$111,4,FALSE),"")</f>
        <v>Regionalne Trasy Rowerowe - ZIT</v>
      </c>
      <c r="E27" s="74" t="s">
        <v>61</v>
      </c>
      <c r="F27" s="63">
        <v>45379</v>
      </c>
      <c r="G27" s="63">
        <v>45565</v>
      </c>
      <c r="H27" s="49" t="s">
        <v>78</v>
      </c>
      <c r="I27" s="62" t="s">
        <v>79</v>
      </c>
      <c r="J27" s="60">
        <v>70000000</v>
      </c>
      <c r="K27" s="56">
        <f>Tabela1[[#This Row],[KWOTA PRZEZNACZONA NA DOFINANSOWANIE PROJEKTÓW '[PLN']]]/4.45</f>
        <v>15730337.078651685</v>
      </c>
      <c r="L27" s="74" t="s">
        <v>20</v>
      </c>
      <c r="M27" s="49" t="s">
        <v>21</v>
      </c>
      <c r="N27" s="49" t="str">
        <f>_xlfn.IFNA(VLOOKUP(Tabela1[[#This Row],[NR DZIAŁANIA]],lista!$A$2:$E$111,5,FALSE),"")</f>
        <v>Departament Europejskiego Funduszu Rozwoju Regionalnego</v>
      </c>
      <c r="O27" s="273"/>
      <c r="P27" s="257">
        <f t="shared" si="0"/>
        <v>45379</v>
      </c>
    </row>
    <row r="28" spans="1:16" ht="118.5" customHeight="1" x14ac:dyDescent="0.3">
      <c r="A28" s="89" t="str">
        <f>_xlfn.IFNA(VLOOKUP(Tabela1[[#This Row],[NR DZIAŁANIA]],lista!$A$2:$E$111,2,FALSE),"")</f>
        <v>RSO2.8</v>
      </c>
      <c r="B28" s="50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8" s="51" t="s">
        <v>77</v>
      </c>
      <c r="D28" s="50" t="str">
        <f>_xlfn.IFNA(VLOOKUP(Tabela1[[#This Row],[NR DZIAŁANIA]],lista!$A$2:$E$111,4,FALSE),"")</f>
        <v>Regionalne Trasy Rowerowe - ZIT</v>
      </c>
      <c r="E28" s="74" t="s">
        <v>63</v>
      </c>
      <c r="F28" s="63">
        <v>45379</v>
      </c>
      <c r="G28" s="63">
        <v>45596</v>
      </c>
      <c r="H28" s="49" t="s">
        <v>78</v>
      </c>
      <c r="I28" s="62" t="s">
        <v>79</v>
      </c>
      <c r="J28" s="60">
        <v>32262500</v>
      </c>
      <c r="K28" s="56">
        <f>Tabela1[[#This Row],[KWOTA PRZEZNACZONA NA DOFINANSOWANIE PROJEKTÓW '[PLN']]]/4.45</f>
        <v>7250000</v>
      </c>
      <c r="L28" s="74" t="s">
        <v>20</v>
      </c>
      <c r="M28" s="49" t="s">
        <v>21</v>
      </c>
      <c r="N28" s="49" t="str">
        <f>_xlfn.IFNA(VLOOKUP(Tabela1[[#This Row],[NR DZIAŁANIA]],lista!$A$2:$E$111,5,FALSE),"")</f>
        <v>Departament Europejskiego Funduszu Rozwoju Regionalnego</v>
      </c>
      <c r="O28" s="273"/>
      <c r="P28" s="257">
        <f t="shared" si="0"/>
        <v>45379</v>
      </c>
    </row>
    <row r="29" spans="1:16" ht="96" customHeight="1" x14ac:dyDescent="0.3">
      <c r="A29" s="92" t="str">
        <f>_xlfn.IFNA(VLOOKUP(Tabela1[[#This Row],[NR DZIAŁANIA]],lista!$A$2:$E$111,2,FALSE),"")</f>
        <v>RSO2.8</v>
      </c>
      <c r="B29" s="93" t="str">
        <f>_xlfn.IFNA(VLOOKUP(Tabela1[[#This Row],[NR DZIAŁANIA]],lista!$A$2:$E$111,3,FALSE),"")</f>
        <v>Wspieranie zrównoważonej multimodalnej mobilności miejskiej jako elementu transformacji w kierunku gospodarki zeroemisyjnej</v>
      </c>
      <c r="C29" s="94" t="s">
        <v>77</v>
      </c>
      <c r="D29" s="93" t="str">
        <f>_xlfn.IFNA(VLOOKUP(Tabela1[[#This Row],[NR DZIAŁANIA]],lista!$A$2:$E$111,4,FALSE),"")</f>
        <v>Regionalne Trasy Rowerowe - ZIT</v>
      </c>
      <c r="E29" s="95" t="s">
        <v>65</v>
      </c>
      <c r="F29" s="135">
        <v>45596</v>
      </c>
      <c r="G29" s="136" t="s">
        <v>80</v>
      </c>
      <c r="H29" s="97" t="s">
        <v>78</v>
      </c>
      <c r="I29" s="155" t="s">
        <v>79</v>
      </c>
      <c r="J29" s="98">
        <v>32262500</v>
      </c>
      <c r="K29" s="99">
        <f>Tabela1[[#This Row],[KWOTA PRZEZNACZONA NA DOFINANSOWANIE PROJEKTÓW '[PLN']]]/4.45</f>
        <v>7250000</v>
      </c>
      <c r="L29" s="95" t="s">
        <v>20</v>
      </c>
      <c r="M29" s="97" t="s">
        <v>21</v>
      </c>
      <c r="N29" s="97" t="str">
        <f>_xlfn.IFNA(VLOOKUP(Tabela1[[#This Row],[NR DZIAŁANIA]],lista!$A$2:$E$111,5,FALSE),"")</f>
        <v>Departament Europejskiego Funduszu Rozwoju Regionalnego</v>
      </c>
      <c r="O29" s="275"/>
      <c r="P29" s="257">
        <f t="shared" si="0"/>
        <v>45596</v>
      </c>
    </row>
    <row r="30" spans="1:16" ht="30" customHeight="1" x14ac:dyDescent="0.3">
      <c r="A30" s="146" t="s">
        <v>81</v>
      </c>
      <c r="B30" s="168"/>
      <c r="C30" s="150"/>
      <c r="D30" s="150"/>
      <c r="E30" s="150"/>
      <c r="F30" s="168"/>
      <c r="G30" s="168"/>
      <c r="H30" s="168"/>
      <c r="I30" s="185"/>
      <c r="J30" s="186"/>
      <c r="K30" s="122"/>
      <c r="L30" s="168"/>
      <c r="M30" s="147"/>
      <c r="N30" s="147"/>
      <c r="O30" s="267"/>
      <c r="P30" s="257"/>
    </row>
    <row r="31" spans="1:16" s="33" customFormat="1" ht="30" customHeight="1" x14ac:dyDescent="0.3">
      <c r="A31" s="176" t="s">
        <v>82</v>
      </c>
      <c r="B31" s="177"/>
      <c r="C31" s="178"/>
      <c r="D31" s="179"/>
      <c r="E31" s="180"/>
      <c r="F31" s="181"/>
      <c r="G31" s="181"/>
      <c r="H31" s="177"/>
      <c r="I31" s="182"/>
      <c r="J31" s="183"/>
      <c r="K31" s="133"/>
      <c r="L31" s="181"/>
      <c r="M31" s="184"/>
      <c r="N31" s="177"/>
      <c r="O31" s="278"/>
      <c r="P31" s="257"/>
    </row>
    <row r="32" spans="1:16" s="39" customFormat="1" ht="147" customHeight="1" x14ac:dyDescent="0.3">
      <c r="A32" s="138" t="str">
        <f>_xlfn.IFNA(VLOOKUP(Tabela1[[#This Row],[NR DZIAŁANIA]],lista!$A$2:$E$111,2,FALSE),"")</f>
        <v>ESO4.1</v>
      </c>
      <c r="B32" s="139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32" s="140" t="s">
        <v>83</v>
      </c>
      <c r="D32" s="139" t="str">
        <f>_xlfn.IFNA(VLOOKUP(Tabela1[[#This Row],[NR DZIAŁANIA]],lista!$A$2:$E$111,4,FALSE),"")</f>
        <v>Aktywizacja zawodowa poprzez PUP</v>
      </c>
      <c r="E32" s="141" t="s">
        <v>84</v>
      </c>
      <c r="F32" s="165">
        <v>45555</v>
      </c>
      <c r="G32" s="165">
        <v>45583</v>
      </c>
      <c r="H32" s="166" t="s">
        <v>85</v>
      </c>
      <c r="I32" s="166" t="s">
        <v>86</v>
      </c>
      <c r="J32" s="167">
        <v>148630000</v>
      </c>
      <c r="K32" s="159">
        <f>Tabela1[[#This Row],[KWOTA PRZEZNACZONA NA DOFINANSOWANIE PROJEKTÓW '[PLN']]]/4.45</f>
        <v>33400000</v>
      </c>
      <c r="L32" s="242" t="s">
        <v>27</v>
      </c>
      <c r="M32" s="166" t="s">
        <v>21</v>
      </c>
      <c r="N32" s="143" t="str">
        <f>_xlfn.IFNA(VLOOKUP(Tabela1[[#This Row],[NR DZIAŁANIA]],lista!$A$2:$E$111,5,FALSE),"")</f>
        <v>Wojewódzki Urząd Pracy</v>
      </c>
      <c r="O32" s="279"/>
      <c r="P32" s="257">
        <f t="shared" si="0"/>
        <v>45555</v>
      </c>
    </row>
    <row r="33" spans="1:16" s="240" customFormat="1" ht="147" customHeight="1" x14ac:dyDescent="0.3">
      <c r="A33" s="89" t="str">
        <f>_xlfn.IFNA(VLOOKUP(Tabela1[[#This Row],[NR DZIAŁANIA]],lista!$A$2:$E$111,2,FALSE),"")</f>
        <v>ESO4.1</v>
      </c>
      <c r="B33" s="50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33" s="51" t="s">
        <v>87</v>
      </c>
      <c r="D33" s="50" t="str">
        <f>_xlfn.IFNA(VLOOKUP(Tabela1[[#This Row],[NR DZIAŁANIA]],lista!$A$2:$E$111,4,FALSE),"")</f>
        <v>Aktywizacja zawodowa poprzez OHP</v>
      </c>
      <c r="E33" s="74" t="s">
        <v>88</v>
      </c>
      <c r="F33" s="78">
        <v>45809</v>
      </c>
      <c r="G33" s="78">
        <v>45898</v>
      </c>
      <c r="H33" s="166" t="s">
        <v>89</v>
      </c>
      <c r="I33" s="53" t="s">
        <v>90</v>
      </c>
      <c r="J33" s="79">
        <v>8900000</v>
      </c>
      <c r="K33" s="56">
        <f>Tabela1[[#This Row],[KWOTA PRZEZNACZONA NA DOFINANSOWANIE PROJEKTÓW '[PLN']]]/4.45</f>
        <v>2000000</v>
      </c>
      <c r="L33" s="81" t="s">
        <v>27</v>
      </c>
      <c r="M33" s="53" t="s">
        <v>21</v>
      </c>
      <c r="N33" s="49" t="str">
        <f>_xlfn.IFNA(VLOOKUP(Tabela1[[#This Row],[NR DZIAŁANIA]],lista!$A$2:$E$111,5,FALSE),"")</f>
        <v>Wojewódzki Urząd Pracy</v>
      </c>
      <c r="O33" s="280"/>
      <c r="P33" s="257">
        <f t="shared" si="0"/>
        <v>45809</v>
      </c>
    </row>
    <row r="34" spans="1:16" s="33" customFormat="1" ht="150" x14ac:dyDescent="0.3">
      <c r="A34" s="89" t="str">
        <f>_xlfn.IFNA(VLOOKUP(Tabela1[[#This Row],[NR DZIAŁANIA]],lista!$A$2:$E$111,2,FALSE),"")</f>
        <v>ESO4.1</v>
      </c>
      <c r="B34" s="50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34" s="51" t="s">
        <v>91</v>
      </c>
      <c r="D34" s="50" t="str">
        <f>_xlfn.IFNA(VLOOKUP(Tabela1[[#This Row],[NR DZIAŁANIA]],lista!$A$2:$E$111,4,FALSE),"")</f>
        <v>ALMA - staże zagraniczne dla młodych</v>
      </c>
      <c r="E34" s="74"/>
      <c r="F34" s="78">
        <v>45658</v>
      </c>
      <c r="G34" s="78">
        <v>45718</v>
      </c>
      <c r="H34" s="53" t="s">
        <v>92</v>
      </c>
      <c r="I34" s="54" t="s">
        <v>93</v>
      </c>
      <c r="J34" s="79">
        <v>26700000</v>
      </c>
      <c r="K34" s="56">
        <f>Tabela1[[#This Row],[KWOTA PRZEZNACZONA NA DOFINANSOWANIE PROJEKTÓW '[PLN']]]/4.45</f>
        <v>6000000</v>
      </c>
      <c r="L34" s="81" t="s">
        <v>20</v>
      </c>
      <c r="M34" s="53" t="s">
        <v>21</v>
      </c>
      <c r="N34" s="49" t="str">
        <f>_xlfn.IFNA(VLOOKUP(Tabela1[[#This Row],[NR DZIAŁANIA]],lista!$A$2:$E$111,5,FALSE),"")</f>
        <v>Wojewódzki Urząd Pracy</v>
      </c>
      <c r="O34" s="277"/>
      <c r="P34" s="257">
        <f t="shared" ref="P34:P64" si="1">F34</f>
        <v>45658</v>
      </c>
    </row>
    <row r="35" spans="1:16" s="240" customFormat="1" ht="123.75" customHeight="1" x14ac:dyDescent="0.3">
      <c r="A35" s="89" t="str">
        <f>_xlfn.IFNA(VLOOKUP(Tabela1[[#This Row],[NR DZIAŁANIA]],lista!$A$2:$E$111,2,FALSE),"")</f>
        <v>ESO4.2</v>
      </c>
      <c r="B35" s="50" t="str">
        <f>_xlfn.IFNA(VLOOKUP(Tabela1[[#This Row],[NR DZIAŁANIA]],lista!$A$2:$E$111,3,FALSE),"")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35" s="51" t="s">
        <v>94</v>
      </c>
      <c r="D35" s="50" t="str">
        <f>_xlfn.IFNA(VLOOKUP(Tabela1[[#This Row],[NR DZIAŁANIA]],lista!$A$2:$E$111,4,FALSE),"")</f>
        <v>Szkolenia dla pracowników IRP</v>
      </c>
      <c r="E35" s="74"/>
      <c r="F35" s="58">
        <v>45806</v>
      </c>
      <c r="G35" s="58">
        <v>45869</v>
      </c>
      <c r="H35" s="166" t="s">
        <v>95</v>
      </c>
      <c r="I35" s="53" t="s">
        <v>93</v>
      </c>
      <c r="J35" s="77">
        <v>2225000</v>
      </c>
      <c r="K35" s="56">
        <f>Tabela1[[#This Row],[KWOTA PRZEZNACZONA NA DOFINANSOWANIE PROJEKTÓW '[PLN']]]/4.45</f>
        <v>500000</v>
      </c>
      <c r="L35" s="81" t="s">
        <v>20</v>
      </c>
      <c r="M35" s="53" t="s">
        <v>96</v>
      </c>
      <c r="N35" s="49" t="s">
        <v>97</v>
      </c>
      <c r="O35" s="280"/>
      <c r="P35" s="257">
        <f t="shared" si="1"/>
        <v>45806</v>
      </c>
    </row>
    <row r="36" spans="1:16" s="33" customFormat="1" ht="202.2" customHeight="1" x14ac:dyDescent="0.3">
      <c r="A36" s="89" t="str">
        <f>_xlfn.IFNA(VLOOKUP(Tabela1[[#This Row],[NR DZIAŁANIA]],lista!$A$2:$E$111,2,FALSE),"")</f>
        <v>ESO4.3</v>
      </c>
      <c r="B36" s="50" t="str">
        <f>_xlfn.IFNA(VLOOKUP(Tabela1[[#This Row],[NR DZIAŁANIA]],lista!$A$2:$E$111,3,FALSE),"")</f>
        <v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v>
      </c>
      <c r="C36" s="51" t="s">
        <v>98</v>
      </c>
      <c r="D36" s="50" t="str">
        <f>_xlfn.IFNA(VLOOKUP(Tabela1[[#This Row],[NR DZIAŁANIA]],lista!$A$2:$E$111,4,FALSE),"")</f>
        <v>Równość szans na rynku pracy</v>
      </c>
      <c r="E36" s="74"/>
      <c r="F36" s="58">
        <v>45441</v>
      </c>
      <c r="G36" s="58">
        <v>45551</v>
      </c>
      <c r="H36" s="53" t="s">
        <v>99</v>
      </c>
      <c r="I36" s="53" t="s">
        <v>100</v>
      </c>
      <c r="J36" s="55">
        <v>33375000</v>
      </c>
      <c r="K36" s="56">
        <f>Tabela1[[#This Row],[KWOTA PRZEZNACZONA NA DOFINANSOWANIE PROJEKTÓW '[PLN']]]/4.45</f>
        <v>7500000</v>
      </c>
      <c r="L36" s="80" t="s">
        <v>20</v>
      </c>
      <c r="M36" s="54" t="s">
        <v>21</v>
      </c>
      <c r="N36" s="49" t="str">
        <f>_xlfn.IFNA(VLOOKUP(Tabela1[[#This Row],[NR DZIAŁANIA]],lista!$A$2:$E$111,5,FALSE),"")</f>
        <v>Wojewódzki Urząd Pracy</v>
      </c>
      <c r="O36" s="277"/>
      <c r="P36" s="257">
        <f t="shared" si="1"/>
        <v>45441</v>
      </c>
    </row>
    <row r="37" spans="1:16" ht="198.75" customHeight="1" x14ac:dyDescent="0.3">
      <c r="A37" s="89" t="str">
        <f>_xlfn.IFNA(VLOOKUP(Tabela1[[#This Row],[NR DZIAŁANIA]],lista!$A$2:$E$111,2,FALSE),"")</f>
        <v>ESO4.4</v>
      </c>
      <c r="B37" s="50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37" s="51" t="s">
        <v>101</v>
      </c>
      <c r="D37" s="50" t="str">
        <f>_xlfn.IFNA(VLOOKUP(Tabela1[[#This Row],[NR DZIAŁANIA]],lista!$A$2:$E$111,4,FALSE),"")</f>
        <v>Regionalne programy zdrowotne</v>
      </c>
      <c r="E37" s="74"/>
      <c r="F37" s="63">
        <v>45642</v>
      </c>
      <c r="G37" s="58">
        <v>45701</v>
      </c>
      <c r="H37" s="54" t="s">
        <v>102</v>
      </c>
      <c r="I37" s="54" t="s">
        <v>100</v>
      </c>
      <c r="J37" s="55">
        <v>27064884</v>
      </c>
      <c r="K37" s="56">
        <f>Tabela1[[#This Row],[KWOTA PRZEZNACZONA NA DOFINANSOWANIE PROJEKTÓW '[PLN']]]/4.45</f>
        <v>6081996.4044943815</v>
      </c>
      <c r="L37" s="80" t="s">
        <v>20</v>
      </c>
      <c r="M37" s="54" t="s">
        <v>21</v>
      </c>
      <c r="N37" s="49" t="str">
        <f>_xlfn.IFNA(VLOOKUP(Tabela1[[#This Row],[NR DZIAŁANIA]],lista!$A$2:$E$111,5,FALSE),"")</f>
        <v>Departament Europejskiego Funduszu Społecznego</v>
      </c>
      <c r="O37" s="269" t="s">
        <v>103</v>
      </c>
      <c r="P37" s="257">
        <f t="shared" si="1"/>
        <v>45642</v>
      </c>
    </row>
    <row r="38" spans="1:16" s="43" customFormat="1" ht="198.75" customHeight="1" x14ac:dyDescent="0.3">
      <c r="A38" s="89" t="s">
        <v>104</v>
      </c>
      <c r="B38" s="50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38" s="51" t="s">
        <v>101</v>
      </c>
      <c r="D38" s="50" t="str">
        <f>_xlfn.IFNA(VLOOKUP(Tabela1[[#This Row],[NR DZIAŁANIA]],lista!$A$2:$E$111,4,FALSE),"")</f>
        <v>Regionalne programy zdrowotne</v>
      </c>
      <c r="E38" s="74"/>
      <c r="F38" s="63">
        <v>45642</v>
      </c>
      <c r="G38" s="58">
        <v>45701</v>
      </c>
      <c r="H38" s="54" t="s">
        <v>102</v>
      </c>
      <c r="I38" s="54" t="s">
        <v>100</v>
      </c>
      <c r="J38" s="55">
        <v>8303323.5999999996</v>
      </c>
      <c r="K38" s="56">
        <f>Tabela1[[#This Row],[KWOTA PRZEZNACZONA NA DOFINANSOWANIE PROJEKTÓW '[PLN']]]/4.45</f>
        <v>1865915.4157303369</v>
      </c>
      <c r="L38" s="80" t="s">
        <v>20</v>
      </c>
      <c r="M38" s="54" t="s">
        <v>21</v>
      </c>
      <c r="N38" s="49" t="str">
        <f>_xlfn.IFNA(VLOOKUP(Tabela1[[#This Row],[NR DZIAŁANIA]],lista!$A$2:$E$111,5,FALSE),"")</f>
        <v>Departament Europejskiego Funduszu Społecznego</v>
      </c>
      <c r="O38" s="269" t="s">
        <v>105</v>
      </c>
      <c r="P38" s="257">
        <f t="shared" si="1"/>
        <v>45642</v>
      </c>
    </row>
    <row r="39" spans="1:16" ht="90" x14ac:dyDescent="0.3">
      <c r="A39" s="89" t="str">
        <f>_xlfn.IFNA(VLOOKUP(Tabela1[[#This Row],[NR DZIAŁANIA]],lista!$A$2:$E$111,2,FALSE),"")</f>
        <v>ESO4.4</v>
      </c>
      <c r="B39" s="50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39" s="51" t="s">
        <v>106</v>
      </c>
      <c r="D39" s="50" t="str">
        <f>_xlfn.IFNA(VLOOKUP(Tabela1[[#This Row],[NR DZIAŁANIA]],lista!$A$2:$E$111,4,FALSE),"")</f>
        <v>Zdrowy pracownik</v>
      </c>
      <c r="E39" s="74"/>
      <c r="F39" s="244">
        <v>45621</v>
      </c>
      <c r="G39" s="244">
        <v>45679</v>
      </c>
      <c r="H39" s="82" t="s">
        <v>107</v>
      </c>
      <c r="I39" s="53" t="s">
        <v>100</v>
      </c>
      <c r="J39" s="55">
        <v>22250000</v>
      </c>
      <c r="K39" s="56">
        <f>Tabela1[[#This Row],[KWOTA PRZEZNACZONA NA DOFINANSOWANIE PROJEKTÓW '[PLN']]]/4.45</f>
        <v>5000000</v>
      </c>
      <c r="L39" s="80" t="s">
        <v>20</v>
      </c>
      <c r="M39" s="54" t="s">
        <v>21</v>
      </c>
      <c r="N39" s="49" t="str">
        <f>_xlfn.IFNA(VLOOKUP(Tabela1[[#This Row],[NR DZIAŁANIA]],lista!$A$2:$E$111,5,FALSE),"")</f>
        <v>Departament Europejskiego Funduszu Społecznego</v>
      </c>
      <c r="O39" s="270" t="s">
        <v>108</v>
      </c>
      <c r="P39" s="257">
        <f t="shared" si="1"/>
        <v>45621</v>
      </c>
    </row>
    <row r="40" spans="1:16" s="43" customFormat="1" ht="120" x14ac:dyDescent="0.3">
      <c r="A40" s="89" t="str">
        <f>_xlfn.IFNA(VLOOKUP(Tabela1[[#This Row],[NR DZIAŁANIA]],lista!$A$2:$E$111,2,FALSE),"")</f>
        <v>ESO4.4</v>
      </c>
      <c r="B40" s="50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0" s="51" t="s">
        <v>109</v>
      </c>
      <c r="D40" s="50" t="str">
        <f>_xlfn.IFNA(VLOOKUP(Tabela1[[#This Row],[NR DZIAŁANIA]],lista!$A$2:$E$111,4,FALSE),"")</f>
        <v>Usługi rozwojowe dla kadr administracji samorządowej</v>
      </c>
      <c r="E40" s="74"/>
      <c r="F40" s="78">
        <v>45931</v>
      </c>
      <c r="G40" s="78">
        <v>46022</v>
      </c>
      <c r="H40" s="53" t="s">
        <v>110</v>
      </c>
      <c r="I40" s="93" t="s">
        <v>93</v>
      </c>
      <c r="J40" s="55">
        <f>(1440075+636704+636704+561798)*4.45</f>
        <v>14575000.450000001</v>
      </c>
      <c r="K40" s="56">
        <f>Tabela1[[#This Row],[KWOTA PRZEZNACZONA NA DOFINANSOWANIE PROJEKTÓW '[PLN']]]/4.45</f>
        <v>3275281</v>
      </c>
      <c r="L40" s="80" t="s">
        <v>20</v>
      </c>
      <c r="M40" s="54" t="s">
        <v>111</v>
      </c>
      <c r="N40" s="49" t="str">
        <f>_xlfn.IFNA(VLOOKUP(Tabela1[[#This Row],[NR DZIAŁANIA]],lista!$A$2:$E$111,5,FALSE),"")</f>
        <v>Wojewódzki Urząd Pracy</v>
      </c>
      <c r="O40" s="270"/>
      <c r="P40" s="257">
        <f t="shared" si="1"/>
        <v>45931</v>
      </c>
    </row>
    <row r="41" spans="1:16" s="41" customFormat="1" ht="108.75" customHeight="1" x14ac:dyDescent="0.3">
      <c r="A41" s="92" t="str">
        <f>_xlfn.IFNA(VLOOKUP(Tabela1[[#This Row],[NR DZIAŁANIA]],lista!$A$2:$E$111,2,FALSE),"")</f>
        <v>ESO4.4</v>
      </c>
      <c r="B41" s="93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1" s="94" t="s">
        <v>112</v>
      </c>
      <c r="D41" s="93" t="str">
        <f>_xlfn.IFNA(VLOOKUP(Tabela1[[#This Row],[NR DZIAŁANIA]],lista!$A$2:$E$111,4,FALSE),"")</f>
        <v>Outplacement EFS+</v>
      </c>
      <c r="E41" s="95"/>
      <c r="F41" s="136">
        <v>45534</v>
      </c>
      <c r="G41" s="136">
        <v>45596</v>
      </c>
      <c r="H41" s="93" t="s">
        <v>113</v>
      </c>
      <c r="I41" s="93" t="s">
        <v>93</v>
      </c>
      <c r="J41" s="169">
        <f>33375000/2</f>
        <v>16687500</v>
      </c>
      <c r="K41" s="99">
        <f>Tabela1[[#This Row],[KWOTA PRZEZNACZONA NA DOFINANSOWANIE PROJEKTÓW '[PLN']]]/4.45</f>
        <v>3750000</v>
      </c>
      <c r="L41" s="170" t="s">
        <v>20</v>
      </c>
      <c r="M41" s="171" t="s">
        <v>21</v>
      </c>
      <c r="N41" s="97" t="s">
        <v>97</v>
      </c>
      <c r="O41" s="281"/>
      <c r="P41" s="260">
        <f t="shared" si="1"/>
        <v>45534</v>
      </c>
    </row>
    <row r="42" spans="1:16" ht="30" customHeight="1" x14ac:dyDescent="0.3">
      <c r="A42" s="146" t="s">
        <v>114</v>
      </c>
      <c r="B42" s="168"/>
      <c r="C42" s="148"/>
      <c r="D42" s="150"/>
      <c r="E42" s="150"/>
      <c r="F42" s="151"/>
      <c r="G42" s="151"/>
      <c r="H42" s="168"/>
      <c r="I42" s="152"/>
      <c r="J42" s="122"/>
      <c r="K42" s="175"/>
      <c r="L42" s="151"/>
      <c r="M42" s="154"/>
      <c r="N42" s="147"/>
      <c r="O42" s="267"/>
      <c r="P42" s="257"/>
    </row>
    <row r="43" spans="1:16" ht="143.25" customHeight="1" x14ac:dyDescent="0.3">
      <c r="A43" s="172" t="str">
        <f>_xlfn.IFNA(VLOOKUP(Tabela1[[#This Row],[NR DZIAŁANIA]],lista!$A$2:$E$111,2,FALSE),"")</f>
        <v>ESO4.6</v>
      </c>
      <c r="B43" s="160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3" s="140" t="s">
        <v>115</v>
      </c>
      <c r="D43" s="160" t="str">
        <f>_xlfn.IFNA(VLOOKUP(Tabela1[[#This Row],[NR DZIAŁANIA]],lista!$A$2:$E$111,4,FALSE),"")</f>
        <v>Edukacja przedszkolna</v>
      </c>
      <c r="E43" s="141"/>
      <c r="F43" s="157">
        <v>45565</v>
      </c>
      <c r="G43" s="157">
        <v>45624</v>
      </c>
      <c r="H43" s="166" t="s">
        <v>116</v>
      </c>
      <c r="I43" s="144" t="s">
        <v>100</v>
      </c>
      <c r="J43" s="173">
        <v>13350000</v>
      </c>
      <c r="K43" s="159">
        <f>Tabela1[[#This Row],[KWOTA PRZEZNACZONA NA DOFINANSOWANIE PROJEKTÓW '[PLN']]]/4.45</f>
        <v>3000000</v>
      </c>
      <c r="L43" s="174" t="s">
        <v>20</v>
      </c>
      <c r="M43" s="144" t="s">
        <v>21</v>
      </c>
      <c r="N43" s="143" t="str">
        <f>_xlfn.IFNA(VLOOKUP(Tabela1[[#This Row],[NR DZIAŁANIA]],lista!$A$2:$E$111,5,FALSE),"")</f>
        <v>Departament Europejskiego Funduszu Społecznego</v>
      </c>
      <c r="O43" s="282" t="s">
        <v>117</v>
      </c>
      <c r="P43" s="257">
        <f t="shared" si="1"/>
        <v>45565</v>
      </c>
    </row>
    <row r="44" spans="1:16" ht="146.25" customHeight="1" x14ac:dyDescent="0.3">
      <c r="A44" s="89" t="str">
        <f>_xlfn.IFNA(VLOOKUP(Tabela1[[#This Row],[NR DZIAŁANIA]],lista!$A$2:$E$111,2,FALSE),"")</f>
        <v>ESO4.6</v>
      </c>
      <c r="B44" s="50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4" s="51" t="s">
        <v>118</v>
      </c>
      <c r="D44" s="50" t="str">
        <f>_xlfn.IFNA(VLOOKUP(Tabela1[[#This Row],[NR DZIAŁANIA]],lista!$A$2:$E$111,4,FALSE),"")</f>
        <v>Kształcenie zawodowe</v>
      </c>
      <c r="E44" s="74"/>
      <c r="F44" s="63">
        <v>45547</v>
      </c>
      <c r="G44" s="63">
        <v>45601</v>
      </c>
      <c r="H44" s="53" t="s">
        <v>119</v>
      </c>
      <c r="I44" s="54" t="s">
        <v>100</v>
      </c>
      <c r="J44" s="55">
        <v>56181250</v>
      </c>
      <c r="K44" s="56">
        <f>Tabela1[[#This Row],[KWOTA PRZEZNACZONA NA DOFINANSOWANIE PROJEKTÓW '[PLN']]]/4.45</f>
        <v>12625000</v>
      </c>
      <c r="L44" s="80" t="s">
        <v>20</v>
      </c>
      <c r="M44" s="54" t="s">
        <v>21</v>
      </c>
      <c r="N44" s="49" t="str">
        <f>_xlfn.IFNA(VLOOKUP(Tabela1[[#This Row],[NR DZIAŁANIA]],lista!$A$2:$E$111,5,FALSE),"")</f>
        <v>Departament Europejskiego Funduszu Społecznego</v>
      </c>
      <c r="O44" s="269" t="s">
        <v>120</v>
      </c>
      <c r="P44" s="257">
        <f t="shared" si="1"/>
        <v>45547</v>
      </c>
    </row>
    <row r="45" spans="1:16" ht="147" customHeight="1" x14ac:dyDescent="0.3">
      <c r="A45" s="89" t="str">
        <f>_xlfn.IFNA(VLOOKUP(Tabela1[[#This Row],[NR DZIAŁANIA]],lista!$A$2:$E$111,2,FALSE),"")</f>
        <v>ESO4.6</v>
      </c>
      <c r="B45" s="50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5" s="51" t="s">
        <v>121</v>
      </c>
      <c r="D45" s="50" t="str">
        <f>_xlfn.IFNA(VLOOKUP(Tabela1[[#This Row],[NR DZIAŁANIA]],lista!$A$2:$E$111,4,FALSE),"")</f>
        <v>Wsparcie edukacyjne społeczności objetych LSR</v>
      </c>
      <c r="E45" s="74"/>
      <c r="F45" s="244">
        <v>45625</v>
      </c>
      <c r="G45" s="244">
        <v>45692</v>
      </c>
      <c r="H45" s="53" t="s">
        <v>122</v>
      </c>
      <c r="I45" s="49" t="s">
        <v>123</v>
      </c>
      <c r="J45" s="55">
        <v>7034129</v>
      </c>
      <c r="K45" s="56">
        <f>Tabela1[[#This Row],[KWOTA PRZEZNACZONA NA DOFINANSOWANIE PROJEKTÓW '[PLN']]]/4.45</f>
        <v>1580703.1460674156</v>
      </c>
      <c r="L45" s="80" t="s">
        <v>20</v>
      </c>
      <c r="M45" s="54" t="s">
        <v>21</v>
      </c>
      <c r="N45" s="49" t="str">
        <f>_xlfn.IFNA(VLOOKUP(Tabela1[[#This Row],[NR DZIAŁANIA]],lista!$A$2:$E$111,5,FALSE),"")</f>
        <v>Departament Europejskiego Funduszu Społecznego</v>
      </c>
      <c r="O45" s="269"/>
      <c r="P45" s="257">
        <f t="shared" si="1"/>
        <v>45625</v>
      </c>
    </row>
    <row r="46" spans="1:16" s="43" customFormat="1" ht="147" customHeight="1" x14ac:dyDescent="0.3">
      <c r="A46" s="89" t="str">
        <f>_xlfn.IFNA(VLOOKUP(Tabela1[[#This Row],[NR DZIAŁANIA]],lista!$A$2:$E$111,2,FALSE),"")</f>
        <v>ESO4.7</v>
      </c>
      <c r="B46" s="50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46" s="51" t="s">
        <v>124</v>
      </c>
      <c r="D46" s="50" t="str">
        <f>_xlfn.IFNA(VLOOKUP(Tabela1[[#This Row],[NR DZIAŁANIA]],lista!$A$2:$E$111,4,FALSE),"")</f>
        <v>Kształcenie osób dorosłych - EFS+</v>
      </c>
      <c r="E46" s="74"/>
      <c r="F46" s="78">
        <v>45964</v>
      </c>
      <c r="G46" s="78">
        <v>46052</v>
      </c>
      <c r="H46" s="53" t="s">
        <v>125</v>
      </c>
      <c r="I46" s="93" t="s">
        <v>93</v>
      </c>
      <c r="J46" s="55">
        <v>2225000</v>
      </c>
      <c r="K46" s="56">
        <f>Tabela1[[#This Row],[KWOTA PRZEZNACZONA NA DOFINANSOWANIE PROJEKTÓW '[PLN']]]/4.45</f>
        <v>500000</v>
      </c>
      <c r="L46" s="80" t="s">
        <v>20</v>
      </c>
      <c r="M46" s="54" t="s">
        <v>21</v>
      </c>
      <c r="N46" s="49" t="str">
        <f>_xlfn.IFNA(VLOOKUP(Tabela1[[#This Row],[NR DZIAŁANIA]],lista!$A$2:$E$111,5,FALSE),"")</f>
        <v>Wojewódzki Urząd Pracy</v>
      </c>
      <c r="O46" s="269"/>
      <c r="P46" s="257">
        <f t="shared" si="1"/>
        <v>45964</v>
      </c>
    </row>
    <row r="47" spans="1:16" s="43" customFormat="1" ht="155.25" customHeight="1" x14ac:dyDescent="0.3">
      <c r="A47" s="92" t="str">
        <f>_xlfn.IFNA(VLOOKUP(Tabela1[[#This Row],[NR DZIAŁANIA]],lista!$A$2:$E$111,2,FALSE),"")</f>
        <v>ESO4.7</v>
      </c>
      <c r="B47" s="93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47" s="94" t="s">
        <v>126</v>
      </c>
      <c r="D47" s="93" t="str">
        <f>_xlfn.IFNA(VLOOKUP(Tabela1[[#This Row],[NR DZIAŁANIA]],lista!$A$2:$E$111,4,FALSE),"")</f>
        <v>Upskilling pathways - RLKS</v>
      </c>
      <c r="E47" s="95"/>
      <c r="F47" s="136">
        <v>45625</v>
      </c>
      <c r="G47" s="136">
        <v>45673</v>
      </c>
      <c r="H47" s="162" t="s">
        <v>127</v>
      </c>
      <c r="I47" s="162" t="s">
        <v>100</v>
      </c>
      <c r="J47" s="163">
        <v>14487829.4</v>
      </c>
      <c r="K47" s="99">
        <f>Tabela1[[#This Row],[KWOTA PRZEZNACZONA NA DOFINANSOWANIE PROJEKTÓW '[PLN']]]/4.45</f>
        <v>3255692</v>
      </c>
      <c r="L47" s="164" t="s">
        <v>20</v>
      </c>
      <c r="M47" s="162" t="s">
        <v>21</v>
      </c>
      <c r="N47" s="97" t="str">
        <f>_xlfn.IFNA(VLOOKUP(Tabela1[[#This Row],[NR DZIAŁANIA]],lista!$A$2:$E$111,5,FALSE),"")</f>
        <v>Wojewódzki Urząd Pracy</v>
      </c>
      <c r="O47" s="283"/>
      <c r="P47" s="257">
        <f t="shared" si="1"/>
        <v>45625</v>
      </c>
    </row>
    <row r="48" spans="1:16" s="34" customFormat="1" ht="155.25" customHeight="1" x14ac:dyDescent="0.3">
      <c r="A48" s="89" t="str">
        <f>_xlfn.IFNA(VLOOKUP(Tabela1[[#This Row],[NR DZIAŁANIA]],lista!$A$2:$E$111,2,FALSE),"")</f>
        <v>ESO4.7</v>
      </c>
      <c r="B48" s="50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48" s="51" t="s">
        <v>128</v>
      </c>
      <c r="D48" s="50" t="str">
        <f>_xlfn.IFNA(VLOOKUP(Tabela1[[#This Row],[NR DZIAŁANIA]],lista!$A$2:$E$111,4,FALSE),"")</f>
        <v>Lokalne Ośrodki Wiedzy i Edukacji - LOWE</v>
      </c>
      <c r="E48" s="74"/>
      <c r="F48" s="136">
        <v>45702</v>
      </c>
      <c r="G48" s="136">
        <v>45747</v>
      </c>
      <c r="H48" s="162" t="s">
        <v>129</v>
      </c>
      <c r="I48" s="162" t="s">
        <v>93</v>
      </c>
      <c r="J48" s="55">
        <v>11800000</v>
      </c>
      <c r="K48" s="56">
        <f>Tabela1[[#This Row],[KWOTA PRZEZNACZONA NA DOFINANSOWANIE PROJEKTÓW '[PLN']]]/4.45</f>
        <v>2651685.3932584268</v>
      </c>
      <c r="L48" s="80" t="s">
        <v>20</v>
      </c>
      <c r="M48" s="54" t="s">
        <v>21</v>
      </c>
      <c r="N48" s="49" t="str">
        <f>_xlfn.IFNA(VLOOKUP(Tabela1[[#This Row],[NR DZIAŁANIA]],lista!$A$2:$E$111,5,FALSE),"")</f>
        <v>Wojewódzki Urząd Pracy</v>
      </c>
      <c r="O48" s="284"/>
      <c r="P48" s="257">
        <f t="shared" si="1"/>
        <v>45702</v>
      </c>
    </row>
    <row r="49" spans="1:16" ht="30" customHeight="1" x14ac:dyDescent="0.3">
      <c r="A49" s="146" t="s">
        <v>130</v>
      </c>
      <c r="B49" s="168"/>
      <c r="C49" s="148"/>
      <c r="D49" s="150"/>
      <c r="E49" s="150"/>
      <c r="F49" s="151"/>
      <c r="G49" s="151"/>
      <c r="H49" s="168"/>
      <c r="I49" s="152"/>
      <c r="J49" s="122"/>
      <c r="K49" s="122"/>
      <c r="L49" s="151"/>
      <c r="M49" s="154"/>
      <c r="N49" s="147"/>
      <c r="O49" s="267"/>
      <c r="P49" s="257"/>
    </row>
    <row r="50" spans="1:16" ht="225.75" customHeight="1" x14ac:dyDescent="0.3">
      <c r="A50" s="138" t="str">
        <f>_xlfn.IFNA(VLOOKUP(Tabela1[[#This Row],[NR DZIAŁANIA]],lista!$A$2:$E$111,2,FALSE),"")</f>
        <v>ESO4.9</v>
      </c>
      <c r="B50" s="139" t="str">
        <f>_xlfn.IFNA(VLOOKUP(Tabela1[[#This Row],[NR DZIAŁANIA]],lista!$A$2:$E$111,3,FALSE),"")</f>
        <v xml:space="preserve">Wspieranie integracji społeczno-gospodarczej obywateli państw trzecich, w tym migrantów </v>
      </c>
      <c r="C50" s="140" t="s">
        <v>131</v>
      </c>
      <c r="D50" s="139" t="str">
        <f>_xlfn.IFNA(VLOOKUP(Tabela1[[#This Row],[NR DZIAŁANIA]],lista!$A$2:$E$111,4,FALSE),"")</f>
        <v>Integracja społeczno - gospodarcza cudzoziemców</v>
      </c>
      <c r="E50" s="141"/>
      <c r="F50" s="165">
        <v>45471</v>
      </c>
      <c r="G50" s="165">
        <v>45565</v>
      </c>
      <c r="H50" s="166" t="s">
        <v>132</v>
      </c>
      <c r="I50" s="139" t="s">
        <v>93</v>
      </c>
      <c r="J50" s="167">
        <v>42275000</v>
      </c>
      <c r="K50" s="159">
        <f>Tabela1[[#This Row],[KWOTA PRZEZNACZONA NA DOFINANSOWANIE PROJEKTÓW '[PLN']]]/4.45</f>
        <v>9500000</v>
      </c>
      <c r="L50" s="243" t="s">
        <v>20</v>
      </c>
      <c r="M50" s="166" t="s">
        <v>21</v>
      </c>
      <c r="N50" s="143" t="str">
        <f>_xlfn.IFNA(VLOOKUP(Tabela1[[#This Row],[NR DZIAŁANIA]],lista!$A$2:$E$111,5,FALSE),"")</f>
        <v>Wojewódzki Urząd Pracy</v>
      </c>
      <c r="O50" s="279"/>
      <c r="P50" s="257">
        <f t="shared" si="1"/>
        <v>45471</v>
      </c>
    </row>
    <row r="51" spans="1:16" ht="195" x14ac:dyDescent="0.3">
      <c r="A51" s="89" t="str">
        <f>_xlfn.IFNA(VLOOKUP(Tabela1[[#This Row],[NR DZIAŁANIA]],lista!$A$2:$E$111,2,FALSE),"")</f>
        <v>ESO4.11</v>
      </c>
      <c r="B51" s="50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1" s="51" t="s">
        <v>133</v>
      </c>
      <c r="D51" s="50" t="str">
        <f>_xlfn.IFNA(VLOOKUP(Tabela1[[#This Row],[NR DZIAŁANIA]],lista!$A$2:$E$111,4,FALSE),"")</f>
        <v>Ochrona zdrowia</v>
      </c>
      <c r="E51" s="74"/>
      <c r="F51" s="63">
        <v>45559</v>
      </c>
      <c r="G51" s="63">
        <v>45621</v>
      </c>
      <c r="H51" s="54" t="s">
        <v>134</v>
      </c>
      <c r="I51" s="49" t="s">
        <v>100</v>
      </c>
      <c r="J51" s="55">
        <v>22250000</v>
      </c>
      <c r="K51" s="56">
        <f>Tabela1[[#This Row],[KWOTA PRZEZNACZONA NA DOFINANSOWANIE PROJEKTÓW '[PLN']]]/4.45</f>
        <v>5000000</v>
      </c>
      <c r="L51" s="71" t="s">
        <v>20</v>
      </c>
      <c r="M51" s="54" t="s">
        <v>21</v>
      </c>
      <c r="N51" s="49" t="str">
        <f>_xlfn.IFNA(VLOOKUP(Tabela1[[#This Row],[NR DZIAŁANIA]],lista!$A$2:$E$111,5,FALSE),"")</f>
        <v>Departament Europejskiego Funduszu Społecznego</v>
      </c>
      <c r="O51" s="285"/>
      <c r="P51" s="257">
        <f t="shared" si="1"/>
        <v>45559</v>
      </c>
    </row>
    <row r="52" spans="1:16" s="48" customFormat="1" ht="125.25" customHeight="1" x14ac:dyDescent="0.3">
      <c r="A52" s="89" t="str">
        <f>_xlfn.IFNA(VLOOKUP(Tabela1[[#This Row],[NR DZIAŁANIA]],lista!$A$2:$E$111,2,FALSE),"")</f>
        <v>ESO4.12</v>
      </c>
      <c r="B52" s="50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2" s="51" t="s">
        <v>135</v>
      </c>
      <c r="D52" s="50" t="str">
        <f>_xlfn.IFNA(VLOOKUP(Tabela1[[#This Row],[NR DZIAŁANIA]],lista!$A$2:$E$111,4,FALSE),"")</f>
        <v>Usługi dla osób w kryzysie bezdomności lub  dotkniętych wykluczeniem z dostępu do mieszkań</v>
      </c>
      <c r="E52" s="74"/>
      <c r="F52" s="63" t="s">
        <v>136</v>
      </c>
      <c r="G52" s="63" t="s">
        <v>137</v>
      </c>
      <c r="H52" s="53" t="s">
        <v>138</v>
      </c>
      <c r="I52" s="53" t="s">
        <v>100</v>
      </c>
      <c r="J52" s="55">
        <v>17800000</v>
      </c>
      <c r="K52" s="56">
        <f>Tabela1[[#This Row],[KWOTA PRZEZNACZONA NA DOFINANSOWANIE PROJEKTÓW '[PLN']]]/4.45</f>
        <v>4000000</v>
      </c>
      <c r="L52" s="71" t="s">
        <v>20</v>
      </c>
      <c r="M52" s="54" t="s">
        <v>21</v>
      </c>
      <c r="N52" s="49" t="str">
        <f>_xlfn.IFNA(VLOOKUP(Tabela1[[#This Row],[NR DZIAŁANIA]],lista!$A$2:$E$111,5,FALSE),"")</f>
        <v>Departament Europejskiego Funduszu Społecznego</v>
      </c>
      <c r="O52" s="285"/>
      <c r="P52" s="257">
        <v>45658</v>
      </c>
    </row>
    <row r="53" spans="1:16" ht="96" customHeight="1" x14ac:dyDescent="0.3">
      <c r="A53" s="89" t="str">
        <f>_xlfn.IFNA(VLOOKUP(Tabela1[[#This Row],[NR DZIAŁANIA]],lista!$A$2:$E$111,2,FALSE),"")</f>
        <v>ESO4.12</v>
      </c>
      <c r="B53" s="50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3" s="51" t="s">
        <v>139</v>
      </c>
      <c r="D53" s="50" t="str">
        <f>_xlfn.IFNA(VLOOKUP(Tabela1[[#This Row],[NR DZIAŁANIA]],lista!$A$2:$E$111,4,FALSE),"")</f>
        <v>Wsparcie społeczności objętych LSR</v>
      </c>
      <c r="E53" s="74"/>
      <c r="F53" s="245">
        <v>45625</v>
      </c>
      <c r="G53" s="245">
        <v>45692</v>
      </c>
      <c r="H53" s="49" t="s">
        <v>140</v>
      </c>
      <c r="I53" s="49" t="s">
        <v>123</v>
      </c>
      <c r="J53" s="55">
        <v>25410296.550000001</v>
      </c>
      <c r="K53" s="56">
        <f>Tabela1[[#This Row],[KWOTA PRZEZNACZONA NA DOFINANSOWANIE PROJEKTÓW '[PLN']]]/4.45</f>
        <v>5710179</v>
      </c>
      <c r="L53" s="71" t="s">
        <v>20</v>
      </c>
      <c r="M53" s="54" t="s">
        <v>21</v>
      </c>
      <c r="N53" s="49" t="str">
        <f>_xlfn.IFNA(VLOOKUP(Tabela1[[#This Row],[NR DZIAŁANIA]],lista!$A$2:$E$111,5,FALSE),"")</f>
        <v>Departament Europejskiego Funduszu Społecznego</v>
      </c>
      <c r="O53" s="270"/>
      <c r="P53" s="257">
        <f t="shared" si="1"/>
        <v>45625</v>
      </c>
    </row>
    <row r="54" spans="1:16" ht="116.25" customHeight="1" x14ac:dyDescent="0.3">
      <c r="A54" s="89" t="str">
        <f>_xlfn.IFNA(VLOOKUP(Tabela1[[#This Row],[NR DZIAŁANIA]],lista!$A$2:$E$111,2,FALSE),"")</f>
        <v>ESO4.12</v>
      </c>
      <c r="B54" s="50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4" s="51" t="s">
        <v>141</v>
      </c>
      <c r="D54" s="50" t="str">
        <f>_xlfn.IFNA(VLOOKUP(Tabela1[[#This Row],[NR DZIAŁANIA]],lista!$A$2:$E$111,4,FALSE),"")</f>
        <v>Wsparcie społeczności mniejszościowych, w tym społeczności romskich</v>
      </c>
      <c r="E54" s="74"/>
      <c r="F54" s="245">
        <v>45618</v>
      </c>
      <c r="G54" s="245">
        <v>45677</v>
      </c>
      <c r="H54" s="50" t="s">
        <v>142</v>
      </c>
      <c r="I54" s="83" t="s">
        <v>100</v>
      </c>
      <c r="J54" s="55">
        <v>11347500</v>
      </c>
      <c r="K54" s="56">
        <f>Tabela1[[#This Row],[KWOTA PRZEZNACZONA NA DOFINANSOWANIE PROJEKTÓW '[PLN']]]/4.45</f>
        <v>2550000</v>
      </c>
      <c r="L54" s="71" t="s">
        <v>20</v>
      </c>
      <c r="M54" s="54" t="s">
        <v>21</v>
      </c>
      <c r="N54" s="49" t="str">
        <f>_xlfn.IFNA(VLOOKUP(Tabela1[[#This Row],[NR DZIAŁANIA]],lista!$A$2:$E$111,5,FALSE),"")</f>
        <v>Departament Europejskiego Funduszu Społecznego</v>
      </c>
      <c r="O54" s="280"/>
      <c r="P54" s="257">
        <f t="shared" si="1"/>
        <v>45618</v>
      </c>
    </row>
    <row r="55" spans="1:16" ht="116.25" customHeight="1" x14ac:dyDescent="0.3">
      <c r="A55" s="89" t="str">
        <f>_xlfn.IFNA(VLOOKUP(Tabela1[[#This Row],[NR DZIAŁANIA]],lista!$A$2:$E$111,2,FALSE),"")</f>
        <v>ESO4.12</v>
      </c>
      <c r="B55" s="93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5" s="94" t="s">
        <v>143</v>
      </c>
      <c r="D55" s="93" t="str">
        <f>_xlfn.IFNA(VLOOKUP(Tabela1[[#This Row],[NR DZIAŁANIA]],lista!$A$2:$E$111,4,FALSE),"")</f>
        <v>Rozwój dialogu obywatelskiego</v>
      </c>
      <c r="E55" s="95"/>
      <c r="F55" s="246">
        <v>45642</v>
      </c>
      <c r="G55" s="246">
        <v>45705</v>
      </c>
      <c r="H55" s="93" t="s">
        <v>144</v>
      </c>
      <c r="I55" s="161" t="s">
        <v>100</v>
      </c>
      <c r="J55" s="98">
        <v>4450000</v>
      </c>
      <c r="K55" s="99">
        <f>Tabela1[[#This Row],[KWOTA PRZEZNACZONA NA DOFINANSOWANIE PROJEKTÓW '[PLN']]]/4.45</f>
        <v>1000000</v>
      </c>
      <c r="L55" s="95" t="s">
        <v>20</v>
      </c>
      <c r="M55" s="162" t="s">
        <v>21</v>
      </c>
      <c r="N55" s="97" t="str">
        <f>_xlfn.IFNA(VLOOKUP(Tabela1[[#This Row],[NR DZIAŁANIA]],lista!$A$2:$E$111,5,FALSE),"")</f>
        <v>Departament Europejskiego Funduszu Społecznego</v>
      </c>
      <c r="O55" s="286"/>
      <c r="P55" s="257">
        <f t="shared" si="1"/>
        <v>45642</v>
      </c>
    </row>
    <row r="56" spans="1:16" ht="30" customHeight="1" x14ac:dyDescent="0.3">
      <c r="A56" s="154" t="s">
        <v>145</v>
      </c>
      <c r="B56" s="90"/>
      <c r="C56" s="148"/>
      <c r="D56" s="149"/>
      <c r="E56" s="150"/>
      <c r="F56" s="151"/>
      <c r="G56" s="151"/>
      <c r="H56" s="147"/>
      <c r="I56" s="152"/>
      <c r="J56" s="153"/>
      <c r="K56" s="122"/>
      <c r="L56" s="151"/>
      <c r="M56" s="154"/>
      <c r="N56" s="147"/>
      <c r="O56" s="264"/>
      <c r="P56" s="257"/>
    </row>
    <row r="57" spans="1:16" s="43" customFormat="1" ht="123.75" customHeight="1" x14ac:dyDescent="0.3">
      <c r="A57" s="247" t="str">
        <f>_xlfn.IFNA(VLOOKUP(Tabela1[[#This Row],[NR DZIAŁANIA]],lista!$A$2:$E$111,2,FALSE),"")</f>
        <v>RSO4.2</v>
      </c>
      <c r="B57" s="49" t="s">
        <v>146</v>
      </c>
      <c r="C57" s="248" t="s">
        <v>147</v>
      </c>
      <c r="D57" s="49" t="str">
        <f>_xlfn.IFNA(VLOOKUP(Tabela1[[#This Row],[NR DZIAŁANIA]],lista!$A$2:$E$111,4,FALSE),"")</f>
        <v>Infrastruktura szkolnictwa wyższego</v>
      </c>
      <c r="E57" s="74" t="s">
        <v>148</v>
      </c>
      <c r="F57" s="76" t="s">
        <v>137</v>
      </c>
      <c r="G57" s="76" t="s">
        <v>149</v>
      </c>
      <c r="H57" s="53" t="s">
        <v>150</v>
      </c>
      <c r="I57" s="49" t="s">
        <v>151</v>
      </c>
      <c r="J57" s="60">
        <v>15575000</v>
      </c>
      <c r="K57" s="56">
        <f>Tabela1[[#This Row],[KWOTA PRZEZNACZONA NA DOFINANSOWANIE PROJEKTÓW '[PLN']]]/4.45</f>
        <v>3500000</v>
      </c>
      <c r="L57" s="84" t="s">
        <v>27</v>
      </c>
      <c r="M57" s="59" t="s">
        <v>152</v>
      </c>
      <c r="N57" s="49" t="str">
        <f>_xlfn.IFNA(VLOOKUP(Tabela1[[#This Row],[NR DZIAŁANIA]],lista!$A$2:$E$111,5,FALSE),"")</f>
        <v>Departament Europejskiego Funduszu Rozwoju Regionalnego</v>
      </c>
      <c r="O57" s="269"/>
      <c r="P57" s="257">
        <v>45748</v>
      </c>
    </row>
    <row r="58" spans="1:16" s="43" customFormat="1" ht="123.75" customHeight="1" x14ac:dyDescent="0.3">
      <c r="A58" s="247" t="str">
        <f>_xlfn.IFNA(VLOOKUP(Tabela1[[#This Row],[NR DZIAŁANIA]],lista!$A$2:$E$111,2,FALSE),"")</f>
        <v>RSO4.5</v>
      </c>
      <c r="B58" s="49" t="str">
        <f>_xlfn.IFNA(VLOOKUP(Tabela1[[#This Row],[NR DZIAŁANIA]],lista!$A$2:$E$111,3,FALSE),"")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58" s="248" t="s">
        <v>153</v>
      </c>
      <c r="D58" s="49" t="str">
        <f>_xlfn.IFNA(VLOOKUP(Tabela1[[#This Row],[NR DZIAŁANIA]],lista!$A$2:$E$111,4,FALSE),"")</f>
        <v>E-zdrowie</v>
      </c>
      <c r="E58" s="249"/>
      <c r="F58" s="238" t="s">
        <v>149</v>
      </c>
      <c r="G58" s="238" t="s">
        <v>154</v>
      </c>
      <c r="H58" s="49" t="s">
        <v>155</v>
      </c>
      <c r="I58" s="49" t="s">
        <v>156</v>
      </c>
      <c r="J58" s="250">
        <v>57581762.899999999</v>
      </c>
      <c r="K58" s="251">
        <f>Tabela1[[#This Row],[KWOTA PRZEZNACZONA NA DOFINANSOWANIE PROJEKTÓW '[PLN']]]/4.45</f>
        <v>12939722</v>
      </c>
      <c r="L58" s="66" t="s">
        <v>20</v>
      </c>
      <c r="M58" s="67" t="s">
        <v>21</v>
      </c>
      <c r="N58" s="49" t="str">
        <f>_xlfn.IFNA(VLOOKUP(Tabela1[[#This Row],[NR DZIAŁANIA]],lista!$A$2:$E$111,5,FALSE),"")</f>
        <v>Departament Europejskiego Funduszu Rozwoju Regionalnego</v>
      </c>
      <c r="O58" s="269"/>
      <c r="P58" s="257">
        <v>45839</v>
      </c>
    </row>
    <row r="59" spans="1:16" s="43" customFormat="1" ht="229.5" customHeight="1" x14ac:dyDescent="0.3">
      <c r="A59" s="247" t="str">
        <f>_xlfn.IFNA(VLOOKUP(Tabela1[[#This Row],[NR DZIAŁANIA]],lista!$A$2:$E$111,2,FALSE),"")</f>
        <v>RSO4.5</v>
      </c>
      <c r="B59" s="49" t="str">
        <f>_xlfn.IFNA(VLOOKUP(Tabela1[[#This Row],[NR DZIAŁANIA]],lista!$A$2:$E$111,3,FALSE),"")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59" s="252" t="s">
        <v>157</v>
      </c>
      <c r="D59" s="49" t="str">
        <f>_xlfn.IFNA(VLOOKUP(Tabela1[[#This Row],[NR DZIAŁANIA]],lista!$A$2:$E$111,4,FALSE),"")</f>
        <v>Infrastruktura ochrony zdrowia</v>
      </c>
      <c r="E59" s="249"/>
      <c r="F59" s="253" t="s">
        <v>137</v>
      </c>
      <c r="G59" s="253" t="s">
        <v>149</v>
      </c>
      <c r="H59" s="49" t="s">
        <v>158</v>
      </c>
      <c r="I59" s="49" t="s">
        <v>156</v>
      </c>
      <c r="J59" s="250">
        <v>152190000</v>
      </c>
      <c r="K59" s="65">
        <f>Tabela1[[#This Row],[KWOTA PRZEZNACZONA NA DOFINANSOWANIE PROJEKTÓW '[PLN']]]/4.45</f>
        <v>34200000</v>
      </c>
      <c r="L59" s="66" t="s">
        <v>20</v>
      </c>
      <c r="M59" s="67" t="s">
        <v>159</v>
      </c>
      <c r="N59" s="49" t="str">
        <f>_xlfn.IFNA(VLOOKUP(Tabela1[[#This Row],[NR DZIAŁANIA]],lista!$A$2:$E$111,5,FALSE),"")</f>
        <v>Departament Europejskiego Funduszu Rozwoju Regionalnego</v>
      </c>
      <c r="O59" s="269" t="s">
        <v>160</v>
      </c>
      <c r="P59" s="257">
        <v>45748</v>
      </c>
    </row>
    <row r="60" spans="1:16" s="43" customFormat="1" ht="124.5" customHeight="1" x14ac:dyDescent="0.3">
      <c r="A60" s="89" t="str">
        <f>_xlfn.IFNA(VLOOKUP(Tabela1[[#This Row],[NR DZIAŁANIA]],lista!$A$2:$E$111,2,FALSE),"")</f>
        <v>RSO4.6</v>
      </c>
      <c r="B60" s="50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60" s="51" t="s">
        <v>161</v>
      </c>
      <c r="D60" s="50" t="str">
        <f>_xlfn.IFNA(VLOOKUP(Tabela1[[#This Row],[NR DZIAŁANIA]],lista!$A$2:$E$111,4,FALSE),"")</f>
        <v>Kultura i turystyka szczebla regionalnego</v>
      </c>
      <c r="E60" s="74" t="s">
        <v>162</v>
      </c>
      <c r="F60" s="63">
        <v>45470</v>
      </c>
      <c r="G60" s="63">
        <v>45622</v>
      </c>
      <c r="H60" s="62" t="s">
        <v>163</v>
      </c>
      <c r="I60" s="62" t="s">
        <v>164</v>
      </c>
      <c r="J60" s="69">
        <v>25499999</v>
      </c>
      <c r="K60" s="56">
        <f>Tabela1[[#This Row],[KWOTA PRZEZNACZONA NA DOFINANSOWANIE PROJEKTÓW '[PLN']]]/4.45</f>
        <v>5730336.8539325837</v>
      </c>
      <c r="L60" s="84" t="s">
        <v>27</v>
      </c>
      <c r="M60" s="59" t="s">
        <v>165</v>
      </c>
      <c r="N60" s="49" t="str">
        <f>_xlfn.IFNA(VLOOKUP(Tabela1[[#This Row],[NR DZIAŁANIA]],lista!$A$2:$E$111,5,FALSE),"")</f>
        <v>Departament Europejskiego Funduszu Rozwoju Regionalnego</v>
      </c>
      <c r="O60" s="269"/>
      <c r="P60" s="257">
        <f t="shared" si="1"/>
        <v>45470</v>
      </c>
    </row>
    <row r="61" spans="1:16" s="34" customFormat="1" ht="124.5" customHeight="1" x14ac:dyDescent="0.3">
      <c r="A61" s="92" t="str">
        <f>_xlfn.IFNA(VLOOKUP(Tabela1[[#This Row],[NR DZIAŁANIA]],lista!$A$2:$E$111,2,FALSE),"")</f>
        <v>RSO4.6</v>
      </c>
      <c r="B61" s="93" t="str">
        <f>_xlfn.IFNA(VLOOKUP(Tabela1[[#This Row],[NR DZIAŁANIA]],lista!$A$2:$E$111,3,FALSE),"")</f>
        <v>Wzmacnianie roli kultury i zrównoważonej turystyki w rozwoju gospodarczym, włączeniu społecznym i innowacjach społecznych</v>
      </c>
      <c r="C61" s="94" t="s">
        <v>161</v>
      </c>
      <c r="D61" s="93" t="str">
        <f>_xlfn.IFNA(VLOOKUP(Tabela1[[#This Row],[NR DZIAŁANIA]],lista!$A$2:$E$111,4,FALSE),"")</f>
        <v>Kultura i turystyka szczebla regionalnego</v>
      </c>
      <c r="E61" s="95" t="s">
        <v>166</v>
      </c>
      <c r="F61" s="135">
        <v>45470</v>
      </c>
      <c r="G61" s="135">
        <v>45561</v>
      </c>
      <c r="H61" s="155" t="s">
        <v>163</v>
      </c>
      <c r="I61" s="155" t="s">
        <v>164</v>
      </c>
      <c r="J61" s="156">
        <v>44500000</v>
      </c>
      <c r="K61" s="99">
        <f>Tabela1[[#This Row],[KWOTA PRZEZNACZONA NA DOFINANSOWANIE PROJEKTÓW '[PLN']]]/4.45</f>
        <v>10000000</v>
      </c>
      <c r="L61" s="100" t="s">
        <v>27</v>
      </c>
      <c r="M61" s="137" t="s">
        <v>165</v>
      </c>
      <c r="N61" s="97" t="str">
        <f>_xlfn.IFNA(VLOOKUP(Tabela1[[#This Row],[NR DZIAŁANIA]],lista!$A$2:$E$111,5,FALSE),"")</f>
        <v>Departament Europejskiego Funduszu Rozwoju Regionalnego</v>
      </c>
      <c r="O61" s="283"/>
      <c r="P61" s="257">
        <f t="shared" si="1"/>
        <v>45470</v>
      </c>
    </row>
    <row r="62" spans="1:16" ht="30" customHeight="1" x14ac:dyDescent="0.3">
      <c r="A62" s="146" t="s">
        <v>167</v>
      </c>
      <c r="B62" s="147"/>
      <c r="C62" s="148"/>
      <c r="D62" s="149"/>
      <c r="E62" s="150"/>
      <c r="F62" s="151"/>
      <c r="G62" s="151"/>
      <c r="H62" s="147"/>
      <c r="I62" s="152"/>
      <c r="J62" s="153"/>
      <c r="K62" s="122"/>
      <c r="L62" s="151"/>
      <c r="M62" s="154"/>
      <c r="N62" s="147"/>
      <c r="O62" s="264"/>
      <c r="P62" s="257">
        <f t="shared" si="1"/>
        <v>0</v>
      </c>
    </row>
    <row r="63" spans="1:16" ht="102.75" customHeight="1" x14ac:dyDescent="0.3">
      <c r="A63" s="138" t="str">
        <f>_xlfn.IFNA(VLOOKUP(Tabela1[[#This Row],[NR DZIAŁANIA]],lista!$A$2:$E$111,2,FALSE),"")</f>
        <v>RSO5.1</v>
      </c>
      <c r="B63" s="139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3" s="140" t="s">
        <v>168</v>
      </c>
      <c r="D63" s="93" t="str">
        <f>_xlfn.IFNA(VLOOKUP(Tabela1[[#This Row],[NR DZIAŁANIA]],lista!$A$2:$E$111,4,FALSE),"")</f>
        <v>Zwiększenie roli kultury i turystyki w rozwoju subregionalnym - ZIT</v>
      </c>
      <c r="E63" s="141" t="s">
        <v>169</v>
      </c>
      <c r="F63" s="157">
        <v>45351</v>
      </c>
      <c r="G63" s="157">
        <v>45596</v>
      </c>
      <c r="H63" s="143" t="s">
        <v>170</v>
      </c>
      <c r="I63" s="143" t="s">
        <v>171</v>
      </c>
      <c r="J63" s="158">
        <v>66750000</v>
      </c>
      <c r="K63" s="159">
        <f>Tabela1[[#This Row],[KWOTA PRZEZNACZONA NA DOFINANSOWANIE PROJEKTÓW '[PLN']]]/4.45</f>
        <v>15000000</v>
      </c>
      <c r="L63" s="141" t="s">
        <v>27</v>
      </c>
      <c r="M63" s="160" t="s">
        <v>159</v>
      </c>
      <c r="N63" s="143" t="s">
        <v>49</v>
      </c>
      <c r="O63" s="265"/>
      <c r="P63" s="257">
        <f t="shared" si="1"/>
        <v>45351</v>
      </c>
    </row>
    <row r="64" spans="1:16" ht="90" x14ac:dyDescent="0.3">
      <c r="A64" s="89" t="str">
        <f>_xlfn.IFNA(VLOOKUP(Tabela1[[#This Row],[NR DZIAŁANIA]],lista!$A$2:$E$111,2,FALSE),"")</f>
        <v>RSO5.1</v>
      </c>
      <c r="B64" s="50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4" s="51" t="s">
        <v>168</v>
      </c>
      <c r="D64" s="93" t="str">
        <f>_xlfn.IFNA(VLOOKUP(Tabela1[[#This Row],[NR DZIAŁANIA]],lista!$A$2:$E$111,4,FALSE),"")</f>
        <v>Zwiększenie roli kultury i turystyki w rozwoju subregionalnym - ZIT</v>
      </c>
      <c r="E64" s="74" t="s">
        <v>63</v>
      </c>
      <c r="F64" s="229">
        <v>45504</v>
      </c>
      <c r="G64" s="63">
        <v>45596</v>
      </c>
      <c r="H64" s="49" t="s">
        <v>172</v>
      </c>
      <c r="I64" s="49" t="s">
        <v>171</v>
      </c>
      <c r="J64" s="60">
        <v>61101793</v>
      </c>
      <c r="K64" s="56">
        <f>Tabela1[[#This Row],[KWOTA PRZEZNACZONA NA DOFINANSOWANIE PROJEKTÓW '[PLN']]]/4.45</f>
        <v>13730740</v>
      </c>
      <c r="L64" s="74" t="s">
        <v>20</v>
      </c>
      <c r="M64" s="59" t="s">
        <v>173</v>
      </c>
      <c r="N64" s="49" t="s">
        <v>49</v>
      </c>
      <c r="O64" s="273"/>
      <c r="P64" s="257">
        <f t="shared" si="1"/>
        <v>45504</v>
      </c>
    </row>
    <row r="65" spans="1:16" ht="90" x14ac:dyDescent="0.3">
      <c r="A65" s="89" t="str">
        <f>_xlfn.IFNA(VLOOKUP(Tabela1[[#This Row],[NR DZIAŁANIA]],lista!$A$2:$E$111,2,FALSE),"")</f>
        <v>RSO5.1</v>
      </c>
      <c r="B65" s="50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5" s="51" t="s">
        <v>168</v>
      </c>
      <c r="D65" s="93" t="str">
        <f>_xlfn.IFNA(VLOOKUP(Tabela1[[#This Row],[NR DZIAŁANIA]],lista!$A$2:$E$111,4,FALSE),"")</f>
        <v>Zwiększenie roli kultury i turystyki w rozwoju subregionalnym - ZIT</v>
      </c>
      <c r="E65" s="74" t="s">
        <v>38</v>
      </c>
      <c r="F65" s="85" t="s">
        <v>136</v>
      </c>
      <c r="G65" s="85" t="s">
        <v>137</v>
      </c>
      <c r="H65" s="49" t="s">
        <v>172</v>
      </c>
      <c r="I65" s="49" t="s">
        <v>171</v>
      </c>
      <c r="J65" s="60">
        <v>40000000</v>
      </c>
      <c r="K65" s="56">
        <f>Tabela1[[#This Row],[KWOTA PRZEZNACZONA NA DOFINANSOWANIE PROJEKTÓW '[PLN']]]/4.45</f>
        <v>8988764.0449438207</v>
      </c>
      <c r="L65" s="74" t="s">
        <v>20</v>
      </c>
      <c r="M65" s="59" t="s">
        <v>174</v>
      </c>
      <c r="N65" s="49" t="s">
        <v>49</v>
      </c>
      <c r="O65" s="273"/>
      <c r="P65" s="257">
        <v>45658</v>
      </c>
    </row>
    <row r="66" spans="1:16" s="43" customFormat="1" ht="115.5" customHeight="1" x14ac:dyDescent="0.3">
      <c r="A66" s="89" t="s">
        <v>175</v>
      </c>
      <c r="B66" s="50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6" s="51" t="s">
        <v>168</v>
      </c>
      <c r="D66" s="93" t="str">
        <f>_xlfn.IFNA(VLOOKUP(Tabela1[[#This Row],[NR DZIAŁANIA]],lista!$A$2:$E$111,4,FALSE),"")</f>
        <v>Zwiększenie roli kultury i turystyki w rozwoju subregionalnym - ZIT</v>
      </c>
      <c r="E66" s="74" t="s">
        <v>65</v>
      </c>
      <c r="F66" s="85" t="s">
        <v>137</v>
      </c>
      <c r="G66" s="85" t="s">
        <v>149</v>
      </c>
      <c r="H66" s="49" t="s">
        <v>172</v>
      </c>
      <c r="I66" s="49" t="s">
        <v>171</v>
      </c>
      <c r="J66" s="60">
        <v>27000000</v>
      </c>
      <c r="K66" s="56">
        <f>Tabela1[[#This Row],[KWOTA PRZEZNACZONA NA DOFINANSOWANIE PROJEKTÓW '[PLN']]]/4.45</f>
        <v>6067415.7303370787</v>
      </c>
      <c r="L66" s="74" t="s">
        <v>20</v>
      </c>
      <c r="M66" s="59" t="s">
        <v>176</v>
      </c>
      <c r="N66" s="49" t="str">
        <f>_xlfn.IFNA(VLOOKUP(Tabela1[[#This Row],[NR DZIAŁANIA]],lista!$A$2:$E$111,5,FALSE),"")</f>
        <v>Departament Europejskiego Funduszu Rozwoju Regionalnego</v>
      </c>
      <c r="O66" s="270"/>
      <c r="P66" s="257">
        <v>45748</v>
      </c>
    </row>
    <row r="67" spans="1:16" ht="90" customHeight="1" x14ac:dyDescent="0.3">
      <c r="A67" s="92" t="str">
        <f>_xlfn.IFNA(VLOOKUP(Tabela1[[#This Row],[NR DZIAŁANIA]],lista!$A$2:$E$111,2,FALSE),"")</f>
        <v>RSO5.1</v>
      </c>
      <c r="B67" s="93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7" s="94" t="s">
        <v>177</v>
      </c>
      <c r="D67" s="93" t="str">
        <f>_xlfn.IFNA(VLOOKUP(Tabela1[[#This Row],[NR DZIAŁANIA]],lista!$A$2:$E$111,4,FALSE),"")</f>
        <v>Rozwój ZIT</v>
      </c>
      <c r="E67" s="95"/>
      <c r="F67" s="135">
        <v>45077</v>
      </c>
      <c r="G67" s="136">
        <v>46752</v>
      </c>
      <c r="H67" s="97" t="s">
        <v>178</v>
      </c>
      <c r="I67" s="97" t="s">
        <v>179</v>
      </c>
      <c r="J67" s="98">
        <v>25677746</v>
      </c>
      <c r="K67" s="99">
        <f>Tabela1[[#This Row],[KWOTA PRZEZNACZONA NA DOFINANSOWANIE PROJEKTÓW '[PLN']]]/4.45</f>
        <v>5770280</v>
      </c>
      <c r="L67" s="95" t="s">
        <v>20</v>
      </c>
      <c r="M67" s="137" t="s">
        <v>21</v>
      </c>
      <c r="N67" s="97" t="str">
        <f>_xlfn.IFNA(VLOOKUP(Tabela1[[#This Row],[NR DZIAŁANIA]],lista!$A$2:$E$111,5,FALSE),"")</f>
        <v>Departament Europejskiego Funduszu Społecznego</v>
      </c>
      <c r="O67" s="287"/>
      <c r="P67" s="257">
        <f t="shared" ref="P67:P99" si="2">F67</f>
        <v>45077</v>
      </c>
    </row>
    <row r="68" spans="1:16" ht="30" customHeight="1" x14ac:dyDescent="0.3">
      <c r="A68" s="146" t="s">
        <v>180</v>
      </c>
      <c r="B68" s="147"/>
      <c r="C68" s="148"/>
      <c r="D68" s="149"/>
      <c r="E68" s="150"/>
      <c r="F68" s="151"/>
      <c r="G68" s="151"/>
      <c r="H68" s="147"/>
      <c r="I68" s="152"/>
      <c r="J68" s="153"/>
      <c r="K68" s="122"/>
      <c r="L68" s="151"/>
      <c r="M68" s="154"/>
      <c r="N68" s="147"/>
      <c r="O68" s="264"/>
      <c r="P68" s="257"/>
    </row>
    <row r="69" spans="1:16" ht="331.2" x14ac:dyDescent="0.3">
      <c r="A69" s="138" t="str">
        <f>_xlfn.IFNA(VLOOKUP(Tabela1[[#This Row],[NR DZIAŁANIA]],lista!$A$2:$E$111,2,FALSE),"")</f>
        <v>JSO8.1</v>
      </c>
      <c r="B69" s="139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69" s="140" t="s">
        <v>181</v>
      </c>
      <c r="D69" s="139" t="str">
        <f>_xlfn.IFNA(VLOOKUP(Tabela1[[#This Row],[NR DZIAŁANIA]],lista!$A$2:$E$111,4,FALSE),"")</f>
        <v>Badania, rozwój i innowacje w przedsiębiorstwach na rzecz transformacji</v>
      </c>
      <c r="E69" s="141"/>
      <c r="F69" s="142">
        <v>45470</v>
      </c>
      <c r="G69" s="142">
        <v>45547</v>
      </c>
      <c r="H69" s="143" t="s">
        <v>182</v>
      </c>
      <c r="I69" s="144" t="s">
        <v>19</v>
      </c>
      <c r="J69" s="145">
        <v>222500000</v>
      </c>
      <c r="K69" s="56">
        <f>Tabela1[[#This Row],[KWOTA PRZEZNACZONA NA DOFINANSOWANIE PROJEKTÓW '[PLN']]]/4.45</f>
        <v>50000000</v>
      </c>
      <c r="L69" s="192" t="s">
        <v>20</v>
      </c>
      <c r="M69" s="143" t="s">
        <v>183</v>
      </c>
      <c r="N69" s="143" t="str">
        <f>_xlfn.IFNA(VLOOKUP(Tabela1[[#This Row],[NR DZIAŁANIA]],lista!$A$2:$E$111,5,FALSE),"")</f>
        <v>Śląskie Centrum Przedsiębiorczości</v>
      </c>
      <c r="O69" s="288" t="s">
        <v>184</v>
      </c>
      <c r="P69" s="257">
        <f t="shared" si="2"/>
        <v>45470</v>
      </c>
    </row>
    <row r="70" spans="1:16" ht="213" customHeight="1" x14ac:dyDescent="0.3">
      <c r="A70" s="89" t="str">
        <f>_xlfn.IFNA(VLOOKUP(Tabela1[[#This Row],[NR DZIAŁANIA]],lista!$A$2:$E$111,2,FALSE),"")</f>
        <v>JSO8.1</v>
      </c>
      <c r="B70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0" s="51" t="s">
        <v>185</v>
      </c>
      <c r="D70" s="50" t="str">
        <f>_xlfn.IFNA(VLOOKUP(Tabela1[[#This Row],[NR DZIAŁANIA]],lista!$A$2:$E$111,4,FALSE),"")</f>
        <v>Wsparcie MŚP na rzecz transformacji</v>
      </c>
      <c r="E70" s="74"/>
      <c r="F70" s="78">
        <v>45658</v>
      </c>
      <c r="G70" s="78">
        <v>45717</v>
      </c>
      <c r="H70" s="57" t="s">
        <v>186</v>
      </c>
      <c r="I70" s="57" t="s">
        <v>187</v>
      </c>
      <c r="J70" s="55">
        <v>50000000</v>
      </c>
      <c r="K70" s="56">
        <f>Tabela1[[#This Row],[KWOTA PRZEZNACZONA NA DOFINANSOWANIE PROJEKTÓW '[PLN']]]/4.45</f>
        <v>11235955.056179775</v>
      </c>
      <c r="L70" s="81" t="s">
        <v>20</v>
      </c>
      <c r="M70" s="57" t="s">
        <v>152</v>
      </c>
      <c r="N70" s="49" t="str">
        <f>_xlfn.IFNA(VLOOKUP(Tabela1[[#This Row],[NR DZIAŁANIA]],lista!$A$2:$E$111,5,FALSE),"")</f>
        <v>Śląskie Centrum Przedsiębiorczości</v>
      </c>
      <c r="O70" s="289" t="s">
        <v>188</v>
      </c>
      <c r="P70" s="257">
        <f t="shared" si="2"/>
        <v>45658</v>
      </c>
    </row>
    <row r="71" spans="1:16" ht="156.75" customHeight="1" x14ac:dyDescent="0.3">
      <c r="A71" s="89" t="str">
        <f>_xlfn.IFNA(VLOOKUP(Tabela1[[#This Row],[NR DZIAŁANIA]],lista!$A$2:$E$111,2,FALSE),"")</f>
        <v>JSO8.1</v>
      </c>
      <c r="B71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1" s="51" t="s">
        <v>189</v>
      </c>
      <c r="D71" s="50" t="str">
        <f>_xlfn.IFNA(VLOOKUP(Tabela1[[#This Row],[NR DZIAŁANIA]],lista!$A$2:$E$111,4,FALSE),"")</f>
        <v>Wsparcie dużych przedsiębiorstw na rzecz transformacji</v>
      </c>
      <c r="E71" s="74"/>
      <c r="F71" s="63">
        <v>45617</v>
      </c>
      <c r="G71" s="63">
        <v>45680</v>
      </c>
      <c r="H71" s="57" t="s">
        <v>190</v>
      </c>
      <c r="I71" s="57" t="s">
        <v>191</v>
      </c>
      <c r="J71" s="55">
        <v>315000000</v>
      </c>
      <c r="K71" s="56">
        <f>Tabela1[[#This Row],[KWOTA PRZEZNACZONA NA DOFINANSOWANIE PROJEKTÓW '[PLN']]]/4.45</f>
        <v>70786516.853932574</v>
      </c>
      <c r="L71" s="81" t="s">
        <v>20</v>
      </c>
      <c r="M71" s="53" t="s">
        <v>152</v>
      </c>
      <c r="N71" s="49" t="str">
        <f>_xlfn.IFNA(VLOOKUP(Tabela1[[#This Row],[NR DZIAŁANIA]],lista!$A$2:$E$111,5,FALSE),"")</f>
        <v>Śląskie Centrum Przedsiębiorczości</v>
      </c>
      <c r="O71" s="290" t="s">
        <v>192</v>
      </c>
      <c r="P71" s="257">
        <f t="shared" si="2"/>
        <v>45617</v>
      </c>
    </row>
    <row r="72" spans="1:16" s="43" customFormat="1" ht="156.75" customHeight="1" x14ac:dyDescent="0.3">
      <c r="A72" s="89" t="str">
        <f>_xlfn.IFNA(VLOOKUP(Tabela1[[#This Row],[NR DZIAŁANIA]],lista!$A$2:$E$111,2,FALSE),"")</f>
        <v>JSO8.1</v>
      </c>
      <c r="B72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2" s="51" t="s">
        <v>193</v>
      </c>
      <c r="D72" s="50" t="str">
        <f>_xlfn.IFNA(VLOOKUP(Tabela1[[#This Row],[NR DZIAŁANIA]],lista!$A$2:$E$111,4,FALSE),"")</f>
        <v>Rozwój energetyki rozproszonej opartej o odnawialne źródła energii </v>
      </c>
      <c r="E72" s="74" t="s">
        <v>63</v>
      </c>
      <c r="F72" s="63">
        <v>45443</v>
      </c>
      <c r="G72" s="63">
        <v>45565</v>
      </c>
      <c r="H72" s="49" t="s">
        <v>194</v>
      </c>
      <c r="I72" s="49" t="s">
        <v>39</v>
      </c>
      <c r="J72" s="254">
        <v>80590100.75</v>
      </c>
      <c r="K72" s="56">
        <f>Tabela1[[#This Row],[KWOTA PRZEZNACZONA NA DOFINANSOWANIE PROJEKTÓW '[PLN']]]/4.45</f>
        <v>18110135</v>
      </c>
      <c r="L72" s="74" t="s">
        <v>20</v>
      </c>
      <c r="M72" s="49" t="s">
        <v>173</v>
      </c>
      <c r="N72" s="49" t="str">
        <f>_xlfn.IFNA(VLOOKUP(Tabela1[[#This Row],[NR DZIAŁANIA]],lista!$A$2:$E$111,5,FALSE),"")</f>
        <v>Departament Europejskiego Funduszu Rozwoju Regionalnego</v>
      </c>
      <c r="O72" s="291"/>
      <c r="P72" s="257">
        <f t="shared" si="2"/>
        <v>45443</v>
      </c>
    </row>
    <row r="73" spans="1:16" ht="154.94999999999999" customHeight="1" x14ac:dyDescent="0.3">
      <c r="A73" s="89" t="str">
        <f>_xlfn.IFNA(VLOOKUP(Tabela1[[#This Row],[NR DZIAŁANIA]],lista!$A$2:$E$111,2,FALSE),"")</f>
        <v>JSO8.1</v>
      </c>
      <c r="B73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3" s="87" t="s">
        <v>193</v>
      </c>
      <c r="D73" s="50" t="str">
        <f>_xlfn.IFNA(VLOOKUP(Tabela1[[#This Row],[NR DZIAŁANIA]],lista!$A$2:$E$111,4,FALSE),"")</f>
        <v>Rozwój energetyki rozproszonej opartej o odnawialne źródła energii </v>
      </c>
      <c r="E73" s="74" t="s">
        <v>38</v>
      </c>
      <c r="F73" s="86">
        <v>45443</v>
      </c>
      <c r="G73" s="63">
        <v>45596</v>
      </c>
      <c r="H73" s="49" t="s">
        <v>194</v>
      </c>
      <c r="I73" s="49" t="s">
        <v>39</v>
      </c>
      <c r="J73" s="52">
        <v>91318775</v>
      </c>
      <c r="K73" s="56">
        <f>Tabela1[[#This Row],[KWOTA PRZEZNACZONA NA DOFINANSOWANIE PROJEKTÓW '[PLN']]]/4.45</f>
        <v>20521073.033707865</v>
      </c>
      <c r="L73" s="74" t="s">
        <v>20</v>
      </c>
      <c r="M73" s="49" t="s">
        <v>174</v>
      </c>
      <c r="N73" s="49" t="str">
        <f>_xlfn.IFNA(VLOOKUP(Tabela1[[#This Row],[NR DZIAŁANIA]],lista!$A$2:$E$111,5,FALSE),"")</f>
        <v>Departament Europejskiego Funduszu Rozwoju Regionalnego</v>
      </c>
      <c r="O73" s="292"/>
      <c r="P73" s="257">
        <f t="shared" si="2"/>
        <v>45443</v>
      </c>
    </row>
    <row r="74" spans="1:16" s="43" customFormat="1" ht="163.19999999999999" customHeight="1" x14ac:dyDescent="0.3">
      <c r="A74" s="89" t="str">
        <f>_xlfn.IFNA(VLOOKUP(Tabela1[[#This Row],[NR DZIAŁANIA]],lista!$A$2:$E$111,2,FALSE),"")</f>
        <v>JSO8.1</v>
      </c>
      <c r="B74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4" s="51" t="s">
        <v>193</v>
      </c>
      <c r="D74" s="50" t="str">
        <f>_xlfn.IFNA(VLOOKUP(Tabela1[[#This Row],[NR DZIAŁANIA]],lista!$A$2:$E$111,4,FALSE),"")</f>
        <v>Rozwój energetyki rozproszonej opartej o odnawialne źródła energii </v>
      </c>
      <c r="E74" s="74" t="s">
        <v>34</v>
      </c>
      <c r="F74" s="63">
        <v>45596</v>
      </c>
      <c r="G74" s="63">
        <v>45688</v>
      </c>
      <c r="H74" s="49" t="s">
        <v>195</v>
      </c>
      <c r="I74" s="49" t="s">
        <v>39</v>
      </c>
      <c r="J74" s="52">
        <v>21243895.050000001</v>
      </c>
      <c r="K74" s="56">
        <f>Tabela1[[#This Row],[KWOTA PRZEZNACZONA NA DOFINANSOWANIE PROJEKTÓW '[PLN']]]/4.45</f>
        <v>4773909</v>
      </c>
      <c r="L74" s="74" t="s">
        <v>20</v>
      </c>
      <c r="M74" s="50" t="s">
        <v>183</v>
      </c>
      <c r="N74" s="49" t="str">
        <f>_xlfn.IFNA(VLOOKUP(Tabela1[[#This Row],[NR DZIAŁANIA]],lista!$A$2:$E$111,5,FALSE),"")</f>
        <v>Departament Europejskiego Funduszu Rozwoju Regionalnego</v>
      </c>
      <c r="O74" s="270" t="s">
        <v>36</v>
      </c>
      <c r="P74" s="257">
        <f t="shared" si="2"/>
        <v>45596</v>
      </c>
    </row>
    <row r="75" spans="1:16" s="43" customFormat="1" ht="163.19999999999999" customHeight="1" x14ac:dyDescent="0.3">
      <c r="A75" s="89" t="str">
        <f>_xlfn.IFNA(VLOOKUP(Tabela1[[#This Row],[NR DZIAŁANIA]],lista!$A$2:$E$111,2,FALSE),"")</f>
        <v>JSO8.1</v>
      </c>
      <c r="B75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5" s="51" t="s">
        <v>193</v>
      </c>
      <c r="D75" s="50" t="str">
        <f>_xlfn.IFNA(VLOOKUP(Tabela1[[#This Row],[NR DZIAŁANIA]],lista!$A$2:$E$111,4,FALSE),"")</f>
        <v>Rozwój energetyki rozproszonej opartej o odnawialne źródła energii </v>
      </c>
      <c r="E75" s="74" t="s">
        <v>61</v>
      </c>
      <c r="F75" s="63">
        <v>45777</v>
      </c>
      <c r="G75" s="63">
        <v>45842</v>
      </c>
      <c r="H75" s="49" t="s">
        <v>194</v>
      </c>
      <c r="I75" s="49" t="s">
        <v>39</v>
      </c>
      <c r="J75" s="52">
        <v>60000000</v>
      </c>
      <c r="K75" s="56">
        <f>Tabela1[[#This Row],[KWOTA PRZEZNACZONA NA DOFINANSOWANIE PROJEKTÓW '[PLN']]]/4.45</f>
        <v>13483146.067415729</v>
      </c>
      <c r="L75" s="74" t="s">
        <v>20</v>
      </c>
      <c r="M75" s="50" t="s">
        <v>183</v>
      </c>
      <c r="N75" s="49" t="str">
        <f>_xlfn.IFNA(VLOOKUP(Tabela1[[#This Row],[NR DZIAŁANIA]],lista!$A$2:$E$111,5,FALSE),"")</f>
        <v>Departament Europejskiego Funduszu Rozwoju Regionalnego</v>
      </c>
      <c r="O75" s="270"/>
      <c r="P75" s="257">
        <f t="shared" si="2"/>
        <v>45777</v>
      </c>
    </row>
    <row r="76" spans="1:16" s="43" customFormat="1" ht="163.19999999999999" customHeight="1" x14ac:dyDescent="0.3">
      <c r="A76" s="89" t="str">
        <f>_xlfn.IFNA(VLOOKUP(Tabela1[[#This Row],[NR DZIAŁANIA]],lista!$A$2:$E$111,2,FALSE),"")</f>
        <v>JSO8.1</v>
      </c>
      <c r="B76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6" s="51" t="s">
        <v>193</v>
      </c>
      <c r="D76" s="50" t="str">
        <f>_xlfn.IFNA(VLOOKUP(Tabela1[[#This Row],[NR DZIAŁANIA]],lista!$A$2:$E$111,4,FALSE),"")</f>
        <v>Rozwój energetyki rozproszonej opartej o odnawialne źródła energii </v>
      </c>
      <c r="E76" s="74" t="s">
        <v>63</v>
      </c>
      <c r="F76" s="63">
        <v>45869</v>
      </c>
      <c r="G76" s="63">
        <v>45961</v>
      </c>
      <c r="H76" s="49" t="s">
        <v>194</v>
      </c>
      <c r="I76" s="49" t="s">
        <v>39</v>
      </c>
      <c r="J76" s="52">
        <v>3500000</v>
      </c>
      <c r="K76" s="56">
        <f>Tabela1[[#This Row],[KWOTA PRZEZNACZONA NA DOFINANSOWANIE PROJEKTÓW '[PLN']]]/4.45</f>
        <v>786516.85393258429</v>
      </c>
      <c r="L76" s="74" t="s">
        <v>20</v>
      </c>
      <c r="M76" s="50" t="s">
        <v>183</v>
      </c>
      <c r="N76" s="49" t="str">
        <f>_xlfn.IFNA(VLOOKUP(Tabela1[[#This Row],[NR DZIAŁANIA]],lista!$A$2:$E$111,5,FALSE),"")</f>
        <v>Departament Europejskiego Funduszu Rozwoju Regionalnego</v>
      </c>
      <c r="O76" s="270"/>
      <c r="P76" s="257">
        <f t="shared" si="2"/>
        <v>45869</v>
      </c>
    </row>
    <row r="77" spans="1:16" s="43" customFormat="1" ht="163.19999999999999" customHeight="1" x14ac:dyDescent="0.3">
      <c r="A77" s="89" t="s">
        <v>196</v>
      </c>
      <c r="B77" s="50" t="s">
        <v>197</v>
      </c>
      <c r="C77" s="51" t="s">
        <v>193</v>
      </c>
      <c r="D77" s="50" t="str">
        <f>_xlfn.IFNA(VLOOKUP(Tabela1[[#This Row],[NR DZIAŁANIA]],lista!$A$2:$E$111,4,FALSE),"")</f>
        <v>Rozwój energetyki rozproszonej opartej o odnawialne źródła energii </v>
      </c>
      <c r="E77" s="74" t="s">
        <v>61</v>
      </c>
      <c r="F77" s="63">
        <v>45777</v>
      </c>
      <c r="G77" s="63">
        <v>45842</v>
      </c>
      <c r="H77" s="49" t="s">
        <v>198</v>
      </c>
      <c r="I77" s="49" t="s">
        <v>199</v>
      </c>
      <c r="J77" s="52">
        <v>80000000</v>
      </c>
      <c r="K77" s="56">
        <f>Tabela1[[#This Row],[KWOTA PRZEZNACZONA NA DOFINANSOWANIE PROJEKTÓW '[PLN']]]/4.45</f>
        <v>17977528.089887641</v>
      </c>
      <c r="L77" s="74" t="s">
        <v>20</v>
      </c>
      <c r="M77" s="50" t="s">
        <v>183</v>
      </c>
      <c r="N77" s="49" t="str">
        <f>_xlfn.IFNA(VLOOKUP(Tabela1[[#This Row],[NR DZIAŁANIA]],lista!$A$2:$E$111,5,FALSE),"")</f>
        <v>Departament Europejskiego Funduszu Rozwoju Regionalnego</v>
      </c>
      <c r="O77" s="270"/>
      <c r="P77" s="257">
        <f t="shared" si="2"/>
        <v>45777</v>
      </c>
    </row>
    <row r="78" spans="1:16" ht="120" x14ac:dyDescent="0.3">
      <c r="A78" s="89" t="str">
        <f>_xlfn.IFNA(VLOOKUP(Tabela1[[#This Row],[NR DZIAŁANIA]],lista!$A$2:$E$111,2,FALSE),"")</f>
        <v>JSO8.1</v>
      </c>
      <c r="B78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8" s="51" t="s">
        <v>200</v>
      </c>
      <c r="D78" s="50" t="str">
        <f>_xlfn.IFNA(VLOOKUP(Tabela1[[#This Row],[NR DZIAŁANIA]],lista!$A$2:$E$111,4,FALSE),"")</f>
        <v>Rekultywacja terenów poprzemysłowych, zdewastowanych, zdegradowanych na cele środowiskowe</v>
      </c>
      <c r="E78" s="74" t="s">
        <v>61</v>
      </c>
      <c r="F78" s="63">
        <v>45412</v>
      </c>
      <c r="G78" s="63">
        <v>45565</v>
      </c>
      <c r="H78" s="50" t="s">
        <v>201</v>
      </c>
      <c r="I78" s="49" t="s">
        <v>202</v>
      </c>
      <c r="J78" s="75">
        <f>24433500*4.45*70%</f>
        <v>76110352.5</v>
      </c>
      <c r="K78" s="56">
        <f>Tabela1[[#This Row],[KWOTA PRZEZNACZONA NA DOFINANSOWANIE PROJEKTÓW '[PLN']]]/4.45</f>
        <v>17103450</v>
      </c>
      <c r="L78" s="74" t="s">
        <v>20</v>
      </c>
      <c r="M78" s="49" t="s">
        <v>203</v>
      </c>
      <c r="N78" s="49" t="str">
        <f>_xlfn.IFNA(VLOOKUP(Tabela1[[#This Row],[NR DZIAŁANIA]],lista!$A$2:$E$111,5,FALSE),"")</f>
        <v>Departament Europejskiego Funduszu Rozwoju Regionalnego</v>
      </c>
      <c r="O78" s="270"/>
      <c r="P78" s="257">
        <f t="shared" si="2"/>
        <v>45412</v>
      </c>
    </row>
    <row r="79" spans="1:16" ht="154.19999999999999" customHeight="1" x14ac:dyDescent="0.3">
      <c r="A79" s="89" t="str">
        <f>_xlfn.IFNA(VLOOKUP(Tabela1[[#This Row],[NR DZIAŁANIA]],lista!$A$2:$E$111,2,FALSE),"")</f>
        <v>JSO8.1</v>
      </c>
      <c r="B79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9" s="51" t="s">
        <v>200</v>
      </c>
      <c r="D79" s="50" t="str">
        <f>_xlfn.IFNA(VLOOKUP(Tabela1[[#This Row],[NR DZIAŁANIA]],lista!$A$2:$E$111,4,FALSE),"")</f>
        <v>Rekultywacja terenów poprzemysłowych, zdewastowanych, zdegradowanych na cele środowiskowe</v>
      </c>
      <c r="E79" s="74" t="s">
        <v>63</v>
      </c>
      <c r="F79" s="63">
        <v>45412</v>
      </c>
      <c r="G79" s="63">
        <v>45565</v>
      </c>
      <c r="H79" s="50" t="s">
        <v>201</v>
      </c>
      <c r="I79" s="49" t="s">
        <v>202</v>
      </c>
      <c r="J79" s="75">
        <f>4343500*4.45*70%</f>
        <v>13530002.5</v>
      </c>
      <c r="K79" s="56">
        <f>Tabela1[[#This Row],[KWOTA PRZEZNACZONA NA DOFINANSOWANIE PROJEKTÓW '[PLN']]]/4.45</f>
        <v>3040450</v>
      </c>
      <c r="L79" s="74" t="s">
        <v>20</v>
      </c>
      <c r="M79" s="49" t="s">
        <v>173</v>
      </c>
      <c r="N79" s="49" t="str">
        <f>_xlfn.IFNA(VLOOKUP(Tabela1[[#This Row],[NR DZIAŁANIA]],lista!$A$2:$E$111,5,FALSE),"")</f>
        <v>Departament Europejskiego Funduszu Rozwoju Regionalnego</v>
      </c>
      <c r="O79" s="273"/>
      <c r="P79" s="257">
        <f t="shared" si="2"/>
        <v>45412</v>
      </c>
    </row>
    <row r="80" spans="1:16" s="34" customFormat="1" ht="120" x14ac:dyDescent="0.3">
      <c r="A80" s="89" t="str">
        <f>_xlfn.IFNA(VLOOKUP(Tabela1[[#This Row],[NR DZIAŁANIA]],lista!$A$2:$E$111,2,FALSE),"")</f>
        <v>JSO8.1</v>
      </c>
      <c r="B80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0" s="51" t="s">
        <v>200</v>
      </c>
      <c r="D80" s="50" t="str">
        <f>_xlfn.IFNA(VLOOKUP(Tabela1[[#This Row],[NR DZIAŁANIA]],lista!$A$2:$E$111,4,FALSE),"")</f>
        <v>Rekultywacja terenów poprzemysłowych, zdewastowanych, zdegradowanych na cele środowiskowe</v>
      </c>
      <c r="E80" s="101" t="s">
        <v>204</v>
      </c>
      <c r="F80" s="63">
        <v>45535</v>
      </c>
      <c r="G80" s="63">
        <v>45688</v>
      </c>
      <c r="H80" s="50" t="s">
        <v>201</v>
      </c>
      <c r="I80" s="64" t="s">
        <v>205</v>
      </c>
      <c r="J80" s="75">
        <f>(5000000*4.45)+(1000000*4.45)+(2500000*4.45)</f>
        <v>37825000</v>
      </c>
      <c r="K80" s="56">
        <f>Tabela1[[#This Row],[KWOTA PRZEZNACZONA NA DOFINANSOWANIE PROJEKTÓW '[PLN']]]/4.45</f>
        <v>8500000</v>
      </c>
      <c r="L80" s="74" t="s">
        <v>20</v>
      </c>
      <c r="M80" s="49" t="s">
        <v>206</v>
      </c>
      <c r="N80" s="49" t="str">
        <f>_xlfn.IFNA(VLOOKUP(Tabela1[[#This Row],[NR DZIAŁANIA]],lista!$A$2:$E$111,5,FALSE),"")</f>
        <v>Departament Europejskiego Funduszu Rozwoju Regionalnego</v>
      </c>
      <c r="O80" s="293"/>
      <c r="P80" s="257">
        <f t="shared" si="2"/>
        <v>45535</v>
      </c>
    </row>
    <row r="81" spans="1:16" s="34" customFormat="1" ht="155.4" customHeight="1" x14ac:dyDescent="0.3">
      <c r="A81" s="89" t="str">
        <f>_xlfn.IFNA(VLOOKUP(Tabela1[[#This Row],[NR DZIAŁANIA]],lista!$A$2:$E$111,2,FALSE),"")</f>
        <v>JSO8.1</v>
      </c>
      <c r="B81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1" s="51" t="s">
        <v>207</v>
      </c>
      <c r="D81" s="50" t="str">
        <f>_xlfn.IFNA(VLOOKUP(Tabela1[[#This Row],[NR DZIAŁANIA]],lista!$A$2:$E$111,4,FALSE),"")</f>
        <v>Poprawa  stosunków wodnych  na obszarze oddziaływania kopalń </v>
      </c>
      <c r="E81" s="74" t="s">
        <v>61</v>
      </c>
      <c r="F81" s="63">
        <v>45596</v>
      </c>
      <c r="G81" s="63">
        <v>45747</v>
      </c>
      <c r="H81" s="50" t="s">
        <v>208</v>
      </c>
      <c r="I81" s="49" t="s">
        <v>209</v>
      </c>
      <c r="J81" s="75">
        <f>10471500*4.45*70%</f>
        <v>32618722.499999996</v>
      </c>
      <c r="K81" s="56">
        <f>Tabela1[[#This Row],[KWOTA PRZEZNACZONA NA DOFINANSOWANIE PROJEKTÓW '[PLN']]]/4.45</f>
        <v>7330049.9999999991</v>
      </c>
      <c r="L81" s="74" t="s">
        <v>20</v>
      </c>
      <c r="M81" s="49" t="s">
        <v>203</v>
      </c>
      <c r="N81" s="49" t="str">
        <f>_xlfn.IFNA(VLOOKUP(Tabela1[[#This Row],[NR DZIAŁANIA]],lista!$A$2:$E$111,5,FALSE),"")</f>
        <v>Departament Europejskiego Funduszu Rozwoju Regionalnego</v>
      </c>
      <c r="O81" s="235"/>
      <c r="P81" s="257">
        <f t="shared" si="2"/>
        <v>45596</v>
      </c>
    </row>
    <row r="82" spans="1:16" ht="112.5" customHeight="1" x14ac:dyDescent="0.3">
      <c r="A82" s="89" t="str">
        <f>_xlfn.IFNA(VLOOKUP(Tabela1[[#This Row],[NR DZIAŁANIA]],lista!$A$2:$E$111,2,FALSE),"")</f>
        <v>JSO8.1</v>
      </c>
      <c r="B82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2" s="51" t="s">
        <v>207</v>
      </c>
      <c r="D82" s="50" t="str">
        <f>_xlfn.IFNA(VLOOKUP(Tabela1[[#This Row],[NR DZIAŁANIA]],lista!$A$2:$E$111,4,FALSE),"")</f>
        <v>Poprawa  stosunków wodnych  na obszarze oddziaływania kopalń </v>
      </c>
      <c r="E82" s="74" t="s">
        <v>63</v>
      </c>
      <c r="F82" s="63">
        <v>45596</v>
      </c>
      <c r="G82" s="63">
        <v>45657</v>
      </c>
      <c r="H82" s="50" t="s">
        <v>208</v>
      </c>
      <c r="I82" s="49" t="s">
        <v>209</v>
      </c>
      <c r="J82" s="75">
        <f>1861500*4.45*70%</f>
        <v>5798572.5</v>
      </c>
      <c r="K82" s="56">
        <f>Tabela1[[#This Row],[KWOTA PRZEZNACZONA NA DOFINANSOWANIE PROJEKTÓW '[PLN']]]/4.45</f>
        <v>1303050</v>
      </c>
      <c r="L82" s="74" t="s">
        <v>20</v>
      </c>
      <c r="M82" s="49" t="s">
        <v>173</v>
      </c>
      <c r="N82" s="49" t="str">
        <f>_xlfn.IFNA(VLOOKUP(Tabela1[[#This Row],[NR DZIAŁANIA]],lista!$A$2:$E$111,5,FALSE),"")</f>
        <v>Departament Europejskiego Funduszu Rozwoju Regionalnego</v>
      </c>
      <c r="O82" s="273"/>
      <c r="P82" s="257">
        <f t="shared" si="2"/>
        <v>45596</v>
      </c>
    </row>
    <row r="83" spans="1:16" ht="120" x14ac:dyDescent="0.3">
      <c r="A83" s="89" t="str">
        <f>_xlfn.IFNA(VLOOKUP(Tabela1[[#This Row],[NR DZIAŁANIA]],lista!$A$2:$E$111,2,FALSE),"")</f>
        <v>JSO8.1</v>
      </c>
      <c r="B83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3" s="51" t="s">
        <v>207</v>
      </c>
      <c r="D83" s="50" t="str">
        <f>_xlfn.IFNA(VLOOKUP(Tabela1[[#This Row],[NR DZIAŁANIA]],lista!$A$2:$E$111,4,FALSE),"")</f>
        <v>Poprawa  stosunków wodnych  na obszarze oddziaływania kopalń </v>
      </c>
      <c r="E83" s="74" t="s">
        <v>38</v>
      </c>
      <c r="F83" s="63">
        <v>45688</v>
      </c>
      <c r="G83" s="63">
        <v>45747</v>
      </c>
      <c r="H83" s="50" t="s">
        <v>208</v>
      </c>
      <c r="I83" s="49" t="s">
        <v>209</v>
      </c>
      <c r="J83" s="75">
        <f>2667000*4.45*70%</f>
        <v>8307704.9999999991</v>
      </c>
      <c r="K83" s="56">
        <f>Tabela1[[#This Row],[KWOTA PRZEZNACZONA NA DOFINANSOWANIE PROJEKTÓW '[PLN']]]/4.45</f>
        <v>1866899.9999999998</v>
      </c>
      <c r="L83" s="74" t="s">
        <v>20</v>
      </c>
      <c r="M83" s="49" t="s">
        <v>174</v>
      </c>
      <c r="N83" s="49" t="str">
        <f>_xlfn.IFNA(VLOOKUP(Tabela1[[#This Row],[NR DZIAŁANIA]],lista!$A$2:$E$111,5,FALSE),"")</f>
        <v>Departament Europejskiego Funduszu Rozwoju Regionalnego</v>
      </c>
      <c r="O83" s="273"/>
      <c r="P83" s="257">
        <f t="shared" si="2"/>
        <v>45688</v>
      </c>
    </row>
    <row r="84" spans="1:16" s="43" customFormat="1" ht="100.5" customHeight="1" x14ac:dyDescent="0.3">
      <c r="A84" s="89" t="str">
        <f>_xlfn.IFNA(VLOOKUP(Tabela1[[#This Row],[NR DZIAŁANIA]],lista!$A$2:$E$111,2,FALSE),"")</f>
        <v>JSO8.1</v>
      </c>
      <c r="B84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4" s="51" t="s">
        <v>210</v>
      </c>
      <c r="D84" s="50" t="str">
        <f>_xlfn.IFNA(VLOOKUP(Tabela1[[#This Row],[NR DZIAŁANIA]],lista!$A$2:$E$111,4,FALSE),"")</f>
        <v>Ponowne wykorzystanie terenów poprzemysłowych, zdewastowanych, zdegradowanych na cele rozwojowe regionu.</v>
      </c>
      <c r="E84" s="74" t="s">
        <v>63</v>
      </c>
      <c r="F84" s="63">
        <v>45504</v>
      </c>
      <c r="G84" s="63">
        <v>45747</v>
      </c>
      <c r="H84" s="54" t="s">
        <v>211</v>
      </c>
      <c r="I84" s="54" t="s">
        <v>212</v>
      </c>
      <c r="J84" s="55">
        <v>61420688.899999999</v>
      </c>
      <c r="K84" s="56">
        <f>Tabela1[[#This Row],[KWOTA PRZEZNACZONA NA DOFINANSOWANIE PROJEKTÓW '[PLN']]]/4.45</f>
        <v>13802402</v>
      </c>
      <c r="L84" s="80" t="s">
        <v>20</v>
      </c>
      <c r="M84" s="59" t="s">
        <v>173</v>
      </c>
      <c r="N84" s="49" t="str">
        <f>_xlfn.IFNA(VLOOKUP(Tabela1[[#This Row],[NR DZIAŁANIA]],lista!$A$2:$E$111,5,FALSE),"")</f>
        <v>Departament Europejskiego Funduszu Rozwoju Regionalnego</v>
      </c>
      <c r="O84" s="270"/>
      <c r="P84" s="257">
        <f t="shared" si="2"/>
        <v>45504</v>
      </c>
    </row>
    <row r="85" spans="1:16" s="43" customFormat="1" ht="100.5" customHeight="1" x14ac:dyDescent="0.3">
      <c r="A85" s="89" t="str">
        <f>_xlfn.IFNA(VLOOKUP(Tabela1[[#This Row],[NR DZIAŁANIA]],lista!$A$2:$E$111,2,FALSE),"")</f>
        <v>JSO8.1</v>
      </c>
      <c r="B85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51" t="s">
        <v>210</v>
      </c>
      <c r="D85" s="50" t="str">
        <f>_xlfn.IFNA(VLOOKUP(Tabela1[[#This Row],[NR DZIAŁANIA]],lista!$A$2:$E$111,4,FALSE),"")</f>
        <v>Ponowne wykorzystanie terenów poprzemysłowych, zdewastowanych, zdegradowanych na cele rozwojowe regionu.</v>
      </c>
      <c r="E85" s="74" t="s">
        <v>61</v>
      </c>
      <c r="F85" s="63">
        <v>45596</v>
      </c>
      <c r="G85" s="63">
        <v>45688</v>
      </c>
      <c r="H85" s="54" t="s">
        <v>211</v>
      </c>
      <c r="I85" s="54" t="s">
        <v>212</v>
      </c>
      <c r="J85" s="55">
        <v>240000000</v>
      </c>
      <c r="K85" s="56">
        <f>Tabela1[[#This Row],[KWOTA PRZEZNACZONA NA DOFINANSOWANIE PROJEKTÓW '[PLN']]]/4.45</f>
        <v>53932584.269662917</v>
      </c>
      <c r="L85" s="80" t="s">
        <v>20</v>
      </c>
      <c r="M85" s="59" t="s">
        <v>203</v>
      </c>
      <c r="N85" s="49" t="str">
        <f>_xlfn.IFNA(VLOOKUP(Tabela1[[#This Row],[NR DZIAŁANIA]],lista!$A$2:$E$111,5,FALSE),"")</f>
        <v>Departament Europejskiego Funduszu Rozwoju Regionalnego</v>
      </c>
      <c r="O85" s="270"/>
      <c r="P85" s="257">
        <f t="shared" si="2"/>
        <v>45596</v>
      </c>
    </row>
    <row r="86" spans="1:16" ht="116.4" customHeight="1" x14ac:dyDescent="0.3">
      <c r="A86" s="89" t="str">
        <f>_xlfn.IFNA(VLOOKUP(Tabela1[[#This Row],[NR DZIAŁANIA]],lista!$A$2:$E$111,2,FALSE),"")</f>
        <v>JSO8.1</v>
      </c>
      <c r="B86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51" t="s">
        <v>210</v>
      </c>
      <c r="D86" s="50" t="str">
        <f>_xlfn.IFNA(VLOOKUP(Tabela1[[#This Row],[NR DZIAŁANIA]],lista!$A$2:$E$111,4,FALSE),"")</f>
        <v>Ponowne wykorzystanie terenów poprzemysłowych, zdewastowanych, zdegradowanych na cele rozwojowe regionu.</v>
      </c>
      <c r="E86" s="74" t="s">
        <v>38</v>
      </c>
      <c r="F86" s="85" t="s">
        <v>136</v>
      </c>
      <c r="G86" s="85" t="s">
        <v>137</v>
      </c>
      <c r="H86" s="54" t="s">
        <v>211</v>
      </c>
      <c r="I86" s="54" t="s">
        <v>212</v>
      </c>
      <c r="J86" s="55">
        <v>77000000</v>
      </c>
      <c r="K86" s="56">
        <f>Tabela1[[#This Row],[KWOTA PRZEZNACZONA NA DOFINANSOWANIE PROJEKTÓW '[PLN']]]/4.45</f>
        <v>17303370.786516853</v>
      </c>
      <c r="L86" s="80" t="s">
        <v>20</v>
      </c>
      <c r="M86" s="59" t="s">
        <v>174</v>
      </c>
      <c r="N86" s="49" t="str">
        <f>_xlfn.IFNA(VLOOKUP(Tabela1[[#This Row],[NR DZIAŁANIA]],lista!$A$2:$E$111,5,FALSE),"")</f>
        <v>Departament Europejskiego Funduszu Rozwoju Regionalnego</v>
      </c>
      <c r="O86" s="273"/>
      <c r="P86" s="257">
        <v>45658</v>
      </c>
    </row>
    <row r="87" spans="1:16" s="34" customFormat="1" ht="116.4" customHeight="1" x14ac:dyDescent="0.3">
      <c r="A87" s="89" t="str">
        <f>_xlfn.IFNA(VLOOKUP(Tabela1[[#This Row],[NR DZIAŁANIA]],lista!$A$2:$E$111,2,FALSE),"")</f>
        <v>JSO8.1</v>
      </c>
      <c r="B87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51" t="s">
        <v>210</v>
      </c>
      <c r="D87" s="50" t="str">
        <f>_xlfn.IFNA(VLOOKUP(Tabela1[[#This Row],[NR DZIAŁANIA]],lista!$A$2:$E$111,4,FALSE),"")</f>
        <v>Ponowne wykorzystanie terenów poprzemysłowych, zdewastowanych, zdegradowanych na cele rozwojowe regionu.</v>
      </c>
      <c r="E87" s="74" t="s">
        <v>213</v>
      </c>
      <c r="F87" s="85" t="s">
        <v>149</v>
      </c>
      <c r="G87" s="85" t="s">
        <v>149</v>
      </c>
      <c r="H87" s="54" t="s">
        <v>211</v>
      </c>
      <c r="I87" s="54" t="s">
        <v>212</v>
      </c>
      <c r="J87" s="88">
        <v>22250000</v>
      </c>
      <c r="K87" s="56">
        <f>Tabela1[[#This Row],[KWOTA PRZEZNACZONA NA DOFINANSOWANIE PROJEKTÓW '[PLN']]]/4.45</f>
        <v>5000000</v>
      </c>
      <c r="L87" s="80" t="s">
        <v>20</v>
      </c>
      <c r="M87" s="53" t="s">
        <v>174</v>
      </c>
      <c r="N87" s="49" t="str">
        <f>_xlfn.IFNA(VLOOKUP(Tabela1[[#This Row],[NR DZIAŁANIA]],lista!$A$2:$E$111,5,FALSE),"")</f>
        <v>Departament Europejskiego Funduszu Rozwoju Regionalnego</v>
      </c>
      <c r="O87" s="294" t="s">
        <v>214</v>
      </c>
      <c r="P87" s="257">
        <v>45839</v>
      </c>
    </row>
    <row r="88" spans="1:16" s="43" customFormat="1" ht="91.5" customHeight="1" x14ac:dyDescent="0.3">
      <c r="A88" s="89" t="str">
        <f>_xlfn.IFNA(VLOOKUP(Tabela1[[#This Row],[NR DZIAŁANIA]],lista!$A$2:$E$111,2,FALSE),"")</f>
        <v>JSO8.1</v>
      </c>
      <c r="B88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8" s="51" t="s">
        <v>215</v>
      </c>
      <c r="D88" s="50" t="str">
        <f>_xlfn.IFNA(VLOOKUP(Tabela1[[#This Row],[NR DZIAŁANIA]],lista!$A$2:$E$111,4,FALSE),"")</f>
        <v>Poprawa mobilności mieszkańców regionu i spójności transportowej podregionów górniczych</v>
      </c>
      <c r="E88" s="74" t="s">
        <v>216</v>
      </c>
      <c r="F88" s="239">
        <v>45687</v>
      </c>
      <c r="G88" s="239">
        <v>45747</v>
      </c>
      <c r="H88" s="75" t="s">
        <v>217</v>
      </c>
      <c r="I88" s="75" t="s">
        <v>33</v>
      </c>
      <c r="J88" s="75">
        <v>76895000</v>
      </c>
      <c r="K88" s="56">
        <f>Tabela1[[#This Row],[KWOTA PRZEZNACZONA NA DOFINANSOWANIE PROJEKTÓW '[PLN']]]/4.45</f>
        <v>17279775.280898876</v>
      </c>
      <c r="L88" s="74" t="s">
        <v>218</v>
      </c>
      <c r="M88" s="50" t="s">
        <v>219</v>
      </c>
      <c r="N88" s="49" t="str">
        <f>_xlfn.IFNA(VLOOKUP(Tabela1[[#This Row],[NR DZIAŁANIA]],lista!$A$2:$E$111,5,FALSE),"")</f>
        <v>Departament Europejskiego Funduszu Rozwoju Regionalnego</v>
      </c>
      <c r="O88" s="270"/>
      <c r="P88" s="257">
        <f t="shared" si="2"/>
        <v>45687</v>
      </c>
    </row>
    <row r="89" spans="1:16" s="43" customFormat="1" ht="120" x14ac:dyDescent="0.3">
      <c r="A89" s="89" t="str">
        <f>_xlfn.IFNA(VLOOKUP(Tabela1[[#This Row],[NR DZIAŁANIA]],lista!$A$2:$E$111,2,FALSE),"")</f>
        <v>JSO8.1</v>
      </c>
      <c r="B89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9" s="51" t="s">
        <v>220</v>
      </c>
      <c r="D89" s="50" t="str">
        <f>_xlfn.IFNA(VLOOKUP(Tabela1[[#This Row],[NR DZIAŁANIA]],lista!$A$2:$E$111,4,FALSE),"")</f>
        <v>Infrastruktura szkolnictwa wyższego na potrzeby transformacji</v>
      </c>
      <c r="E89" s="74" t="s">
        <v>221</v>
      </c>
      <c r="F89" s="76">
        <v>45169</v>
      </c>
      <c r="G89" s="244">
        <v>45656</v>
      </c>
      <c r="H89" s="53" t="s">
        <v>222</v>
      </c>
      <c r="I89" s="49" t="s">
        <v>151</v>
      </c>
      <c r="J89" s="60">
        <v>21999999</v>
      </c>
      <c r="K89" s="56">
        <f>Tabela1[[#This Row],[KWOTA PRZEZNACZONA NA DOFINANSOWANIE PROJEKTÓW '[PLN']]]/4.45</f>
        <v>4943820</v>
      </c>
      <c r="L89" s="84" t="s">
        <v>27</v>
      </c>
      <c r="M89" s="59" t="s">
        <v>152</v>
      </c>
      <c r="N89" s="49" t="str">
        <f>_xlfn.IFNA(VLOOKUP(Tabela1[[#This Row],[NR DZIAŁANIA]],lista!$A$2:$E$111,5,FALSE),"")</f>
        <v>Departament Europejskiego Funduszu Rozwoju Regionalnego</v>
      </c>
      <c r="O89" s="280"/>
      <c r="P89" s="257">
        <f t="shared" si="2"/>
        <v>45169</v>
      </c>
    </row>
    <row r="90" spans="1:16" s="43" customFormat="1" ht="111" customHeight="1" x14ac:dyDescent="0.3">
      <c r="A90" s="89" t="str">
        <f>_xlfn.IFNA(VLOOKUP(Tabela1[[#This Row],[NR DZIAŁANIA]],lista!$A$2:$E$111,2,FALSE),"")</f>
        <v>JSO8.1</v>
      </c>
      <c r="B90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0" s="51" t="s">
        <v>220</v>
      </c>
      <c r="D90" s="50" t="str">
        <f>_xlfn.IFNA(VLOOKUP(Tabela1[[#This Row],[NR DZIAŁANIA]],lista!$A$2:$E$111,4,FALSE),"")</f>
        <v>Infrastruktura szkolnictwa wyższego na potrzeby transformacji</v>
      </c>
      <c r="E90" s="74" t="s">
        <v>223</v>
      </c>
      <c r="F90" s="76">
        <v>45169</v>
      </c>
      <c r="G90" s="244">
        <v>45656</v>
      </c>
      <c r="H90" s="53" t="s">
        <v>222</v>
      </c>
      <c r="I90" s="49" t="s">
        <v>151</v>
      </c>
      <c r="J90" s="60">
        <v>59999999.700000003</v>
      </c>
      <c r="K90" s="56">
        <f>Tabela1[[#This Row],[KWOTA PRZEZNACZONA NA DOFINANSOWANIE PROJEKTÓW '[PLN']]]/4.45</f>
        <v>13483146</v>
      </c>
      <c r="L90" s="84" t="s">
        <v>27</v>
      </c>
      <c r="M90" s="59" t="s">
        <v>152</v>
      </c>
      <c r="N90" s="49" t="str">
        <f>_xlfn.IFNA(VLOOKUP(Tabela1[[#This Row],[NR DZIAŁANIA]],lista!$A$2:$E$111,5,FALSE),"")</f>
        <v>Departament Europejskiego Funduszu Rozwoju Regionalnego</v>
      </c>
      <c r="O90" s="280"/>
      <c r="P90" s="257">
        <f t="shared" si="2"/>
        <v>45169</v>
      </c>
    </row>
    <row r="91" spans="1:16" s="43" customFormat="1" ht="111" customHeight="1" x14ac:dyDescent="0.3">
      <c r="A91" s="89" t="str">
        <f>_xlfn.IFNA(VLOOKUP(Tabela1[[#This Row],[NR DZIAŁANIA]],lista!$A$2:$E$111,2,FALSE),"")</f>
        <v>JSO8.1</v>
      </c>
      <c r="B91" s="50" t="s">
        <v>197</v>
      </c>
      <c r="C91" s="51" t="s">
        <v>220</v>
      </c>
      <c r="D91" s="50" t="str">
        <f>_xlfn.IFNA(VLOOKUP(Tabela1[[#This Row],[NR DZIAŁANIA]],lista!$A$2:$E$111,4,FALSE),"")</f>
        <v>Infrastruktura szkolnictwa wyższego na potrzeby transformacji</v>
      </c>
      <c r="E91" s="74" t="s">
        <v>224</v>
      </c>
      <c r="F91" s="76" t="s">
        <v>137</v>
      </c>
      <c r="G91" s="76" t="s">
        <v>149</v>
      </c>
      <c r="H91" s="53" t="s">
        <v>222</v>
      </c>
      <c r="I91" s="49" t="s">
        <v>151</v>
      </c>
      <c r="J91" s="60">
        <v>51175000</v>
      </c>
      <c r="K91" s="56">
        <f>Tabela1[[#This Row],[KWOTA PRZEZNACZONA NA DOFINANSOWANIE PROJEKTÓW '[PLN']]]/4.45</f>
        <v>11500000</v>
      </c>
      <c r="L91" s="84" t="s">
        <v>218</v>
      </c>
      <c r="M91" s="59" t="s">
        <v>152</v>
      </c>
      <c r="N91" s="49" t="str">
        <f>_xlfn.IFNA(VLOOKUP(Tabela1[[#This Row],[NR DZIAŁANIA]],lista!$A$2:$E$111,5,FALSE),"")</f>
        <v>Departament Europejskiego Funduszu Rozwoju Regionalnego</v>
      </c>
      <c r="O91" s="280"/>
      <c r="P91" s="257">
        <v>45748</v>
      </c>
    </row>
    <row r="92" spans="1:16" s="43" customFormat="1" ht="120" x14ac:dyDescent="0.3">
      <c r="A92" s="89" t="str">
        <f>_xlfn.IFNA(VLOOKUP(Tabela1[[#This Row],[NR DZIAŁANIA]],lista!$A$2:$E$111,2,FALSE),"")</f>
        <v>JSO8.1</v>
      </c>
      <c r="B92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2" s="51" t="s">
        <v>225</v>
      </c>
      <c r="D92" s="50" t="str">
        <f>_xlfn.IFNA(VLOOKUP(Tabela1[[#This Row],[NR DZIAŁANIA]],lista!$A$2:$E$111,4,FALSE),"")</f>
        <v>Kształcenie osób dorosłych - FST</v>
      </c>
      <c r="E92" s="74"/>
      <c r="F92" s="76">
        <v>45504</v>
      </c>
      <c r="G92" s="76">
        <v>45565</v>
      </c>
      <c r="H92" s="50" t="s">
        <v>226</v>
      </c>
      <c r="I92" s="50" t="s">
        <v>93</v>
      </c>
      <c r="J92" s="77">
        <v>66000000</v>
      </c>
      <c r="K92" s="56">
        <f>Tabela1[[#This Row],[KWOTA PRZEZNACZONA NA DOFINANSOWANIE PROJEKTÓW '[PLN']]]/4.45</f>
        <v>14831460.674157303</v>
      </c>
      <c r="L92" s="84" t="s">
        <v>20</v>
      </c>
      <c r="M92" s="49" t="s">
        <v>183</v>
      </c>
      <c r="N92" s="49" t="str">
        <f>_xlfn.IFNA(VLOOKUP(Tabela1[[#This Row],[NR DZIAŁANIA]],lista!$A$2:$E$111,5,FALSE),"")</f>
        <v>Wojewódzki Urząd Pracy</v>
      </c>
      <c r="O92" s="280"/>
      <c r="P92" s="257">
        <f t="shared" si="2"/>
        <v>45504</v>
      </c>
    </row>
    <row r="93" spans="1:16" s="43" customFormat="1" ht="120" x14ac:dyDescent="0.3">
      <c r="A93" s="89" t="str">
        <f>_xlfn.IFNA(VLOOKUP(Tabela1[[#This Row],[NR DZIAŁANIA]],lista!$A$2:$E$111,2,FALSE),"")</f>
        <v>JSO8.1</v>
      </c>
      <c r="B93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3" s="51" t="s">
        <v>227</v>
      </c>
      <c r="D93" s="50" t="str">
        <f>_xlfn.IFNA(VLOOKUP(Tabela1[[#This Row],[NR DZIAŁANIA]],lista!$A$2:$E$111,4,FALSE),"")</f>
        <v xml:space="preserve">Redeployment </v>
      </c>
      <c r="E93" s="74"/>
      <c r="F93" s="239">
        <v>45639</v>
      </c>
      <c r="G93" s="239">
        <v>45687</v>
      </c>
      <c r="H93" s="49" t="s">
        <v>228</v>
      </c>
      <c r="I93" s="50" t="s">
        <v>93</v>
      </c>
      <c r="J93" s="60">
        <v>142400000</v>
      </c>
      <c r="K93" s="56">
        <f>Tabela1[[#This Row],[KWOTA PRZEZNACZONA NA DOFINANSOWANIE PROJEKTÓW '[PLN']]]/4.45</f>
        <v>32000000</v>
      </c>
      <c r="L93" s="84" t="s">
        <v>20</v>
      </c>
      <c r="M93" s="49" t="s">
        <v>183</v>
      </c>
      <c r="N93" s="49" t="str">
        <f>_xlfn.IFNA(VLOOKUP(Tabela1[[#This Row],[NR DZIAŁANIA]],lista!$A$2:$E$111,5,FALSE),"")</f>
        <v>Wojewódzki Urząd Pracy</v>
      </c>
      <c r="O93" s="280"/>
      <c r="P93" s="257">
        <f t="shared" si="2"/>
        <v>45639</v>
      </c>
    </row>
    <row r="94" spans="1:16" s="43" customFormat="1" ht="120" x14ac:dyDescent="0.3">
      <c r="A94" s="89" t="str">
        <f>_xlfn.IFNA(VLOOKUP(Tabela1[[#This Row],[NR DZIAŁANIA]],lista!$A$2:$E$111,2,FALSE),"")</f>
        <v>JSO8.1</v>
      </c>
      <c r="B94" s="50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4" s="51" t="s">
        <v>229</v>
      </c>
      <c r="D94" s="50" t="str">
        <f>_xlfn.IFNA(VLOOKUP(Tabela1[[#This Row],[NR DZIAŁANIA]],lista!$A$2:$E$111,4,FALSE),"")</f>
        <v>Outpalcement FST</v>
      </c>
      <c r="E94" s="74"/>
      <c r="F94" s="76">
        <v>45534</v>
      </c>
      <c r="G94" s="76">
        <v>45596</v>
      </c>
      <c r="H94" s="50" t="s">
        <v>113</v>
      </c>
      <c r="I94" s="50" t="s">
        <v>93</v>
      </c>
      <c r="J94" s="60">
        <v>71200000</v>
      </c>
      <c r="K94" s="56">
        <f>Tabela1[[#This Row],[KWOTA PRZEZNACZONA NA DOFINANSOWANIE PROJEKTÓW '[PLN']]]/4.45</f>
        <v>16000000</v>
      </c>
      <c r="L94" s="84" t="s">
        <v>20</v>
      </c>
      <c r="M94" s="49" t="s">
        <v>183</v>
      </c>
      <c r="N94" s="49" t="str">
        <f>_xlfn.IFNA(VLOOKUP(Tabela1[[#This Row],[NR DZIAŁANIA]],lista!$A$2:$E$111,5,FALSE),"")</f>
        <v>Wojewódzki Urząd Pracy</v>
      </c>
      <c r="O94" s="280"/>
      <c r="P94" s="257">
        <f t="shared" si="2"/>
        <v>45534</v>
      </c>
    </row>
    <row r="95" spans="1:16" s="23" customFormat="1" ht="116.4" customHeight="1" x14ac:dyDescent="0.3">
      <c r="A95" s="92" t="str">
        <f>_xlfn.IFNA(VLOOKUP(Tabela1[[#This Row],[NR DZIAŁANIA]],lista!$A$2:$E$111,2,FALSE),"")</f>
        <v>JSO8.1</v>
      </c>
      <c r="B95" s="93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5" s="94" t="s">
        <v>230</v>
      </c>
      <c r="D95" s="93" t="str">
        <f>_xlfn.IFNA(VLOOKUP(Tabela1[[#This Row],[NR DZIAŁANIA]],lista!$A$2:$E$111,4,FALSE),"")</f>
        <v>Wsparcie pracowników zaangażowanych w proces transformacji</v>
      </c>
      <c r="E95" s="95"/>
      <c r="F95" s="96">
        <v>45597</v>
      </c>
      <c r="G95" s="96">
        <v>45627</v>
      </c>
      <c r="H95" s="97" t="s">
        <v>231</v>
      </c>
      <c r="I95" s="93" t="s">
        <v>93</v>
      </c>
      <c r="J95" s="98">
        <v>17800000</v>
      </c>
      <c r="K95" s="99">
        <f>Tabela1[[#This Row],[KWOTA PRZEZNACZONA NA DOFINANSOWANIE PROJEKTÓW '[PLN']]]/4.45</f>
        <v>4000000</v>
      </c>
      <c r="L95" s="100" t="s">
        <v>20</v>
      </c>
      <c r="M95" s="97" t="s">
        <v>183</v>
      </c>
      <c r="N95" s="97" t="str">
        <f>_xlfn.IFNA(VLOOKUP(Tabela1[[#This Row],[NR DZIAŁANIA]],lista!$A$2:$E$111,5,FALSE),"")</f>
        <v>Wojewódzki Urząd Pracy</v>
      </c>
      <c r="O95" s="286"/>
      <c r="P95" s="257">
        <f t="shared" si="2"/>
        <v>45597</v>
      </c>
    </row>
    <row r="96" spans="1:16" s="23" customFormat="1" ht="33" customHeight="1" x14ac:dyDescent="0.3">
      <c r="A96" s="113" t="s">
        <v>232</v>
      </c>
      <c r="B96" s="114"/>
      <c r="C96" s="115"/>
      <c r="D96" s="116"/>
      <c r="E96" s="117"/>
      <c r="F96" s="118"/>
      <c r="G96" s="119"/>
      <c r="H96" s="120"/>
      <c r="I96" s="120"/>
      <c r="J96" s="121"/>
      <c r="K96" s="122"/>
      <c r="L96" s="123"/>
      <c r="M96" s="120"/>
      <c r="N96" s="120"/>
      <c r="O96" s="295"/>
      <c r="P96" s="257"/>
    </row>
    <row r="97" spans="1:16" s="23" customFormat="1" ht="36.75" customHeight="1" x14ac:dyDescent="0.3">
      <c r="A97" s="124" t="s">
        <v>233</v>
      </c>
      <c r="B97" s="125"/>
      <c r="C97" s="126"/>
      <c r="D97" s="127"/>
      <c r="E97" s="128"/>
      <c r="F97" s="129"/>
      <c r="G97" s="130"/>
      <c r="H97" s="131"/>
      <c r="I97" s="131"/>
      <c r="J97" s="132"/>
      <c r="K97" s="133"/>
      <c r="L97" s="134"/>
      <c r="M97" s="131"/>
      <c r="N97" s="131"/>
      <c r="O97" s="296"/>
      <c r="P97" s="257"/>
    </row>
    <row r="98" spans="1:16" ht="39" customHeight="1" x14ac:dyDescent="0.3">
      <c r="A98" s="102" t="s">
        <v>234</v>
      </c>
      <c r="B98" s="103"/>
      <c r="C98" s="104"/>
      <c r="D98" s="105"/>
      <c r="E98" s="106"/>
      <c r="F98" s="107"/>
      <c r="G98" s="108"/>
      <c r="H98" s="109"/>
      <c r="I98" s="109"/>
      <c r="J98" s="110"/>
      <c r="K98" s="111"/>
      <c r="L98" s="112"/>
      <c r="M98" s="109"/>
      <c r="N98" s="109"/>
      <c r="O98" s="297"/>
      <c r="P98" s="257"/>
    </row>
    <row r="99" spans="1:16" ht="38.25" customHeight="1" x14ac:dyDescent="0.3">
      <c r="A99" s="92" t="str">
        <f>_xlfn.IFNA(VLOOKUP(Tabela1[[#This Row],[NR DZIAŁANIA]],lista!$A$2:$E$111,2,FALSE),"")</f>
        <v>PT</v>
      </c>
      <c r="B99" s="93" t="str">
        <f>_xlfn.IFNA(VLOOKUP(Tabela1[[#This Row],[NR DZIAŁANIA]],lista!$A$2:$E$111,3,FALSE),"")</f>
        <v>PT.1-  Pomoc Techniczna</v>
      </c>
      <c r="C99" s="94" t="s">
        <v>235</v>
      </c>
      <c r="D99" s="225" t="str">
        <f>_xlfn.IFNA(VLOOKUP(Tabela1[[#This Row],[NR DZIAŁANIA]],lista!$A$2:$E$111,4,FALSE),"")</f>
        <v>Pomoc Technicza FST</v>
      </c>
      <c r="E99" s="225" t="str">
        <f>_xlfn.IFNA(VLOOKUP(Tabela1[[#This Row],[NR DZIAŁANIA]],lista!$A$2:$E$111,4,FALSE),"")</f>
        <v>Pomoc Technicza FST</v>
      </c>
      <c r="F99" s="227">
        <v>45593</v>
      </c>
      <c r="G99" s="227">
        <v>45625</v>
      </c>
      <c r="H99" s="226" t="s">
        <v>217</v>
      </c>
      <c r="I99" s="226" t="s">
        <v>33</v>
      </c>
      <c r="J99" s="204">
        <v>164523026</v>
      </c>
      <c r="K99" s="205">
        <f>Tabela1[[#This Row],[KWOTA PRZEZNACZONA NA DOFINANSOWANIE PROJEKTÓW '[PLN']]]/4.45</f>
        <v>36971466.516853929</v>
      </c>
      <c r="L99" s="188" t="s">
        <v>27</v>
      </c>
      <c r="M99" s="203" t="s">
        <v>21</v>
      </c>
      <c r="N99" s="97" t="str">
        <f>_xlfn.IFNA(VLOOKUP(Tabela1[[#This Row],[NR DZIAŁANIA]],lista!$A$2:$E$111,5,FALSE),"")</f>
        <v>Departament Rozwoju i Transformacji Regionu</v>
      </c>
      <c r="O99" s="286"/>
      <c r="P99" s="257">
        <f t="shared" si="2"/>
        <v>45593</v>
      </c>
    </row>
    <row r="101" spans="1:16" x14ac:dyDescent="0.3">
      <c r="J101" s="45"/>
      <c r="L101" s="40"/>
    </row>
  </sheetData>
  <autoFilter ref="C100" xr:uid="{00000000-0001-0000-0000-000000000000}"/>
  <dataValidations disablePrompts="1" count="4">
    <dataValidation type="list" allowBlank="1" showInputMessage="1" showErrorMessage="1" sqref="C68 C2 C96:C98 C21 C62 C6 C49 C30:C31 C42 C56" xr:uid="{00000000-0002-0000-0000-000000000000}">
      <formula1>#REF!</formula1>
    </dataValidation>
    <dataValidation type="decimal" operator="greaterThan" allowBlank="1" showInputMessage="1" showErrorMessage="1" sqref="J8 J36:J40 J30:J31 J99:K1048576 J1:K3 J93:J98 J4:J6 K4:K77 J42:J49 J51:J71 K87:K98 J78:K86 J88:J91 J14 J16:J21" xr:uid="{00000000-0002-0000-0000-000001000000}">
      <formula1>0</formula1>
    </dataValidation>
    <dataValidation type="date" operator="greaterThan" allowBlank="1" showInputMessage="1" showErrorMessage="1" sqref="G49 G42 G1:G3 G30:G31 G62 G96:G1048576 G88:G90 G68:G69 F88 G56 G17:G21 G14:G15 G6:G10 G72:G84" xr:uid="{00000000-0002-0000-0000-000002000000}">
      <formula1>TODAY()</formula1>
    </dataValidation>
    <dataValidation allowBlank="1" showInputMessage="1" showErrorMessage="1" sqref="G4:G5 F11:G13 G55 F67:F69 G39 F63:G66 F30:F31 F94:F1048576 F84:G87 F17:F21 F14:F15 G57:G61 G91 F1:F7 F9:F10 F33:F40 G43:G45 F42:F50 F55:F62 F72:F84 F89:F92" xr:uid="{00000000-0002-0000-0000-000003000000}"/>
  </dataValidations>
  <pageMargins left="0.55118110236220474" right="0.27559055118110237" top="0.74803149606299213" bottom="0.74803149606299213" header="0.31496062992125984" footer="0.31496062992125984"/>
  <pageSetup paperSize="8" scale="41" fitToHeight="9" orientation="landscape" verticalDpi="0" r:id="rId1"/>
  <headerFooter>
    <oddHeader>&amp;L&amp;16 Harmonogram naborów wniosków FE SL 21-27&amp;R&amp;14Załącznik nr 1 do Uchwały Nr 1197/29/VII/2024  Zarządu Województwa Śląskiego z dnia  25 września  2024 r.</oddHeader>
    <oddFooter>&amp;C&amp;G</oddFooter>
  </headerFooter>
  <rowBreaks count="3" manualBreakCount="3">
    <brk id="29" max="14" man="1"/>
    <brk id="55" max="14" man="1"/>
    <brk id="95" max="14" man="1"/>
  </rowBreaks>
  <ignoredErrors>
    <ignoredError sqref="A98:D98 A2 L98:O98 H98:I98 K31 F6:O6 A21 A31 A42 A56 A49 F62:O62 A68 A30 K30 A62:D62 A6:D6" calculatedColumn="1"/>
  </ignoredErrors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4000000}">
          <x14:formula1>
            <xm:f>lista!$A$2:$A$111</xm:f>
          </x14:formula1>
          <xm:sqref>C3:C5 C63:C67 C99 C7:C10 C14:C20 C22:C29 C32:C41 C43:C48 C50:C55 C57:C61 C70:C95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7" zoomScaleNormal="100" workbookViewId="0">
      <selection activeCell="B34" sqref="B34"/>
    </sheetView>
  </sheetViews>
  <sheetFormatPr defaultRowHeight="14.4" x14ac:dyDescent="0.3"/>
  <cols>
    <col min="1" max="1" width="10.88671875" bestFit="1" customWidth="1"/>
    <col min="2" max="2" width="58.6640625" bestFit="1" customWidth="1"/>
    <col min="3" max="3" width="14.44140625" bestFit="1" customWidth="1"/>
    <col min="4" max="4" width="24.6640625" customWidth="1"/>
    <col min="5" max="5" width="22.5546875" customWidth="1"/>
    <col min="6" max="6" width="20.33203125" customWidth="1"/>
    <col min="7" max="7" width="18" bestFit="1" customWidth="1"/>
  </cols>
  <sheetData>
    <row r="1" spans="1:5" ht="15.6" x14ac:dyDescent="0.3">
      <c r="A1" s="36" t="s">
        <v>237</v>
      </c>
      <c r="B1" s="37"/>
      <c r="C1" s="23"/>
      <c r="D1" s="23"/>
      <c r="E1" s="23"/>
    </row>
    <row r="2" spans="1:5" x14ac:dyDescent="0.3">
      <c r="A2" s="29"/>
      <c r="B2" s="23"/>
      <c r="C2" s="23"/>
      <c r="D2" s="23"/>
      <c r="E2" s="23"/>
    </row>
    <row r="3" spans="1:5" x14ac:dyDescent="0.3">
      <c r="A3" s="298" t="s">
        <v>238</v>
      </c>
      <c r="B3" s="298"/>
      <c r="C3" s="27" t="s">
        <v>239</v>
      </c>
      <c r="D3" s="27" t="s">
        <v>240</v>
      </c>
      <c r="E3" s="27" t="s">
        <v>241</v>
      </c>
    </row>
    <row r="4" spans="1:5" x14ac:dyDescent="0.3">
      <c r="A4" s="28" t="s">
        <v>242</v>
      </c>
      <c r="B4" s="30" t="s">
        <v>243</v>
      </c>
      <c r="C4" s="258">
        <f>COUNTIF('Harmonogram naborów wniosków'!C:C,"01.*")</f>
        <v>3</v>
      </c>
      <c r="D4" s="31">
        <f>SUMIFS('Harmonogram naborów wniosków'!K:K,'Harmonogram naborów wniosków'!C:C,"01.*")-SUMIFS('Harmonogram naborów wniosków'!K:K,'Harmonogram naborów wniosków'!C:C,"01.09*")</f>
        <v>67810112.359550565</v>
      </c>
      <c r="E4" s="32">
        <f>SUMIFS('Harmonogram naborów wniosków'!J:J,'Harmonogram naborów wniosków'!C:C,"01.*")-SUMIFS('Harmonogram naborów wniosków'!J:J,'Harmonogram naborów wniosków'!C:C,"01.09*")</f>
        <v>301755000</v>
      </c>
    </row>
    <row r="5" spans="1:5" x14ac:dyDescent="0.3">
      <c r="A5" s="28" t="s">
        <v>244</v>
      </c>
      <c r="B5" s="30" t="s">
        <v>245</v>
      </c>
      <c r="C5" s="30">
        <f>COUNTIF('Harmonogram naborów wniosków'!C:C,"02.*")</f>
        <v>14</v>
      </c>
      <c r="D5" s="31">
        <f>SUMIFS('Harmonogram naborów wniosków'!K:K,'Harmonogram naborów wniosków'!C:C,"02.*")</f>
        <v>99292147.348876402</v>
      </c>
      <c r="E5" s="32">
        <f>SUMIFS('Harmonogram naborów wniosków'!J:J,'Harmonogram naborów wniosków'!C:C,"02.*")</f>
        <v>441850055.70249999</v>
      </c>
    </row>
    <row r="6" spans="1:5" x14ac:dyDescent="0.3">
      <c r="A6" s="28" t="s">
        <v>246</v>
      </c>
      <c r="B6" s="30" t="s">
        <v>247</v>
      </c>
      <c r="C6" s="30">
        <f>COUNTIF('Harmonogram naborów wniosków'!C:C,"03.*")</f>
        <v>8</v>
      </c>
      <c r="D6" s="31">
        <f>SUMIFS('Harmonogram naborów wniosków'!K:K,'Harmonogram naborów wniosków'!C:C,"03.*")</f>
        <v>99627767.078651682</v>
      </c>
      <c r="E6" s="32">
        <f>SUMIFS('Harmonogram naborów wniosków'!J:J,'Harmonogram naborów wniosków'!C:C,"03.*")</f>
        <v>443343563.5</v>
      </c>
    </row>
    <row r="7" spans="1:5" x14ac:dyDescent="0.3">
      <c r="A7" s="28" t="s">
        <v>248</v>
      </c>
      <c r="B7" s="30" t="s">
        <v>249</v>
      </c>
      <c r="C7" s="30">
        <f>COUNTIF('Harmonogram naborów wniosków'!C:C,"04.*")</f>
        <v>0</v>
      </c>
      <c r="D7" s="31">
        <f>SUMIFS('Harmonogram naborów wniosków'!K:K,'Harmonogram naborów wniosków'!C:C,"04.*")</f>
        <v>0</v>
      </c>
      <c r="E7" s="32">
        <f>SUMIFS('Harmonogram naborów wniosków'!J:J,'Harmonogram naborów wniosków'!C:C,"04.*")</f>
        <v>0</v>
      </c>
    </row>
    <row r="8" spans="1:5" x14ac:dyDescent="0.3">
      <c r="A8" s="28" t="s">
        <v>250</v>
      </c>
      <c r="B8" s="30" t="s">
        <v>251</v>
      </c>
      <c r="C8" s="30">
        <f>COUNTIF('Harmonogram naborów wniosków'!C:C,"05.*")</f>
        <v>10</v>
      </c>
      <c r="D8" s="31">
        <f>SUMIFS('Harmonogram naborów wniosków'!K:K,'Harmonogram naborów wniosków'!C:C,"05.*")</f>
        <v>69373192.820224717</v>
      </c>
      <c r="E8" s="32">
        <f>SUMIFS('Harmonogram naborów wniosków'!J:J,'Harmonogram naborów wniosków'!C:C,"05.*")</f>
        <v>308710708.05000001</v>
      </c>
    </row>
    <row r="9" spans="1:5" x14ac:dyDescent="0.3">
      <c r="A9" s="28" t="s">
        <v>252</v>
      </c>
      <c r="B9" s="30" t="s">
        <v>253</v>
      </c>
      <c r="C9" s="30">
        <f>COUNTIF('Harmonogram naborów wniosków'!C:C,"06.*")</f>
        <v>6</v>
      </c>
      <c r="D9" s="31">
        <f>SUMIFS('Harmonogram naborów wniosków'!K:K,'Harmonogram naborów wniosków'!C:C,"06.*")</f>
        <v>23613080.539325841</v>
      </c>
      <c r="E9" s="32">
        <f>SUMIFS('Harmonogram naborów wniosków'!J:J,'Harmonogram naborów wniosków'!C:C,"06.*")</f>
        <v>105078208.40000001</v>
      </c>
    </row>
    <row r="10" spans="1:5" x14ac:dyDescent="0.3">
      <c r="A10" s="28" t="s">
        <v>254</v>
      </c>
      <c r="B10" s="30" t="s">
        <v>255</v>
      </c>
      <c r="C10" s="30">
        <f>COUNTIF('Harmonogram naborów wniosków'!C:C,"07.*")</f>
        <v>6</v>
      </c>
      <c r="D10" s="31">
        <f>SUMIFS('Harmonogram naborów wniosków'!K:K,'Harmonogram naborów wniosków'!C:C,"07.*")</f>
        <v>27760179</v>
      </c>
      <c r="E10" s="32">
        <f>SUMIFS('Harmonogram naborów wniosków'!J:J,'Harmonogram naborów wniosków'!C:C,"07.*")</f>
        <v>123532796.55</v>
      </c>
    </row>
    <row r="11" spans="1:5" x14ac:dyDescent="0.3">
      <c r="A11" s="28" t="s">
        <v>256</v>
      </c>
      <c r="B11" s="30" t="s">
        <v>257</v>
      </c>
      <c r="C11" s="30">
        <f>COUNTIF('Harmonogram naborów wniosków'!C:C,"08.*")</f>
        <v>5</v>
      </c>
      <c r="D11" s="31">
        <f>SUMIFS('Harmonogram naborów wniosków'!K:K,'Harmonogram naborów wniosków'!C:C,"08.*")</f>
        <v>66370058.853932582</v>
      </c>
      <c r="E11" s="32">
        <f>SUMIFS('Harmonogram naborów wniosków'!J:J,'Harmonogram naborów wniosków'!C:C,"08.*")</f>
        <v>295346761.89999998</v>
      </c>
    </row>
    <row r="12" spans="1:5" x14ac:dyDescent="0.3">
      <c r="A12" s="28" t="s">
        <v>258</v>
      </c>
      <c r="B12" s="30" t="s">
        <v>259</v>
      </c>
      <c r="C12" s="30">
        <f>COUNTIF('Harmonogram naborów wniosków'!C:C,"09.*")</f>
        <v>5</v>
      </c>
      <c r="D12" s="31">
        <f>SUMIFS('Harmonogram naborów wniosków'!K:K,'Harmonogram naborów wniosków'!C:C,"09.*")</f>
        <v>49557199.7752809</v>
      </c>
      <c r="E12" s="32">
        <f>SUMIFS('Harmonogram naborów wniosków'!J:J,'Harmonogram naborów wniosków'!C:C,"09.*")</f>
        <v>220529539</v>
      </c>
    </row>
    <row r="13" spans="1:5" x14ac:dyDescent="0.3">
      <c r="A13" s="28" t="s">
        <v>260</v>
      </c>
      <c r="B13" s="30" t="s">
        <v>261</v>
      </c>
      <c r="C13" s="30">
        <f>COUNTIF('Harmonogram naborów wniosków'!C:C,"10.*")</f>
        <v>27</v>
      </c>
      <c r="D13" s="31">
        <f>SUMIFS('Harmonogram naborów wniosków'!K:K,'Harmonogram naborów wniosków'!C:C,"10.*")</f>
        <v>450895238.96629214</v>
      </c>
      <c r="E13" s="32">
        <f>SUMIFS('Harmonogram naborów wniosków'!J:J,'Harmonogram naborów wniosków'!C:C,"10.*")</f>
        <v>2006483813.4000001</v>
      </c>
    </row>
    <row r="14" spans="1:5" x14ac:dyDescent="0.3">
      <c r="A14" s="28" t="s">
        <v>262</v>
      </c>
      <c r="B14" s="30" t="s">
        <v>263</v>
      </c>
      <c r="C14" s="30">
        <f>COUNTIF('Harmonogram naborów wniosków'!C:C,"11.*")</f>
        <v>0</v>
      </c>
      <c r="D14" s="31">
        <f>SUMIFS('Harmonogram naborów wniosków'!K:K,'Harmonogram naborów wniosków'!C:C,"11.*")</f>
        <v>0</v>
      </c>
      <c r="E14" s="32">
        <f>SUMIFS('Harmonogram naborów wniosków'!J:J,'Harmonogram naborów wniosków'!C:C,"11.*")</f>
        <v>0</v>
      </c>
    </row>
    <row r="15" spans="1:5" x14ac:dyDescent="0.3">
      <c r="A15" s="28" t="s">
        <v>264</v>
      </c>
      <c r="B15" s="30" t="s">
        <v>265</v>
      </c>
      <c r="C15" s="30">
        <f>COUNTIF('Harmonogram naborów wniosków'!C:C,"12.*")</f>
        <v>0</v>
      </c>
      <c r="D15" s="31">
        <f>SUMIFS('Harmonogram naborów wniosków'!K:K,'Harmonogram naborów wniosków'!C:C,"12.*")</f>
        <v>0</v>
      </c>
      <c r="E15" s="32">
        <f>SUMIFS('Harmonogram naborów wniosków'!J:J,'Harmonogram naborów wniosków'!C:C,"12.*")</f>
        <v>0</v>
      </c>
    </row>
    <row r="16" spans="1:5" x14ac:dyDescent="0.3">
      <c r="A16" s="28" t="s">
        <v>266</v>
      </c>
      <c r="B16" s="30" t="s">
        <v>267</v>
      </c>
      <c r="C16" s="30">
        <f>COUNTIF('Harmonogram naborów wniosków'!C:C,"13.*")</f>
        <v>1</v>
      </c>
      <c r="D16" s="31">
        <f>SUMIFS('Harmonogram naborów wniosków'!K:K,'Harmonogram naborów wniosków'!C:C,"13.*")</f>
        <v>36971466.516853929</v>
      </c>
      <c r="E16" s="32">
        <f>SUMIFS('Harmonogram naborów wniosków'!J:J,'Harmonogram naborów wniosków'!C:C,"13.*")</f>
        <v>164523026</v>
      </c>
    </row>
    <row r="17" spans="1:5" ht="15.6" x14ac:dyDescent="0.3">
      <c r="A17" s="29"/>
      <c r="B17" s="214" t="s">
        <v>268</v>
      </c>
      <c r="C17" s="215">
        <f>SUM(C4:C16)</f>
        <v>85</v>
      </c>
      <c r="D17" s="216">
        <f>SUM(D4:D16)</f>
        <v>991270443.25898874</v>
      </c>
      <c r="E17" s="217">
        <f>SUM(E4:E16)</f>
        <v>4411153472.5025005</v>
      </c>
    </row>
    <row r="18" spans="1:5" ht="15" x14ac:dyDescent="0.3">
      <c r="D18" s="213"/>
      <c r="E18" s="213"/>
    </row>
    <row r="21" spans="1:5" ht="15.6" x14ac:dyDescent="0.3">
      <c r="A21" s="37" t="s">
        <v>269</v>
      </c>
      <c r="B21" s="37"/>
      <c r="C21" s="23"/>
      <c r="D21" s="23"/>
      <c r="E21" s="23"/>
    </row>
    <row r="22" spans="1:5" x14ac:dyDescent="0.3">
      <c r="A22" s="23"/>
      <c r="B22" s="23"/>
      <c r="C22" s="23"/>
      <c r="D22" s="219" t="s">
        <v>240</v>
      </c>
      <c r="E22" s="219" t="s">
        <v>241</v>
      </c>
    </row>
    <row r="23" spans="1:5" x14ac:dyDescent="0.3">
      <c r="A23" s="38" t="s">
        <v>270</v>
      </c>
      <c r="B23" s="30" t="s">
        <v>49</v>
      </c>
      <c r="C23" s="30">
        <f>COUNTIF('Harmonogram naborów wniosków'!N:N,Monitoring!B23)</f>
        <v>53</v>
      </c>
      <c r="D23" s="31">
        <f>SUMIFS('Harmonogram naborów wniosków'!K:K,'Harmonogram naborów wniosków'!N:N,Monitoring!B23)</f>
        <v>608028311.79831469</v>
      </c>
      <c r="E23" s="32">
        <f>SUMIFS('Harmonogram naborów wniosków'!J:J,'Harmonogram naborów wniosków'!N:N,Monitoring!B23)</f>
        <v>2705725987.5024996</v>
      </c>
    </row>
    <row r="24" spans="1:5" x14ac:dyDescent="0.3">
      <c r="A24" s="38" t="s">
        <v>271</v>
      </c>
      <c r="B24" s="30" t="s">
        <v>272</v>
      </c>
      <c r="C24" s="30">
        <f>COUNTIF('Harmonogram naborów wniosków'!N:N,Monitoring!B24)</f>
        <v>12</v>
      </c>
      <c r="D24" s="31">
        <f>SUMIFS('Harmonogram naborów wniosków'!K:K,'Harmonogram naborów wniosków'!N:N,Monitoring!B24)</f>
        <v>54184073.966292128</v>
      </c>
      <c r="E24" s="32">
        <f>SUMIFS('Harmonogram naborów wniosków'!J:J,'Harmonogram naborów wniosków'!N:N,Monitoring!B24)</f>
        <v>241119129.15000001</v>
      </c>
    </row>
    <row r="25" spans="1:5" x14ac:dyDescent="0.3">
      <c r="A25" s="38" t="s">
        <v>273</v>
      </c>
      <c r="B25" s="30" t="s">
        <v>274</v>
      </c>
      <c r="C25" s="30">
        <f>COUNTIF('Harmonogram naborów wniosków'!N:N,Monitoring!B25)</f>
        <v>4</v>
      </c>
      <c r="D25" s="31">
        <f>SUMIFS('Harmonogram naborów wniosków'!K:K,'Harmonogram naborów wniosków'!N:N,Monitoring!B25)</f>
        <v>152922471.91011235</v>
      </c>
      <c r="E25" s="32">
        <f>SUMIFS('Harmonogram naborów wniosków'!J:J,'Harmonogram naborów wniosków'!N:N,Monitoring!B25)</f>
        <v>680505000</v>
      </c>
    </row>
    <row r="26" spans="1:5" x14ac:dyDescent="0.3">
      <c r="A26" s="38" t="s">
        <v>275</v>
      </c>
      <c r="B26" s="218" t="s">
        <v>97</v>
      </c>
      <c r="C26" s="30">
        <f>COUNTIF('Harmonogram naborów wniosków'!N:N,Monitoring!B26)</f>
        <v>15</v>
      </c>
      <c r="D26" s="31">
        <f>SUMIFS('Harmonogram naborów wniosków'!K:K,'Harmonogram naborów wniosków'!N:N,Monitoring!B26)</f>
        <v>139164119.06741571</v>
      </c>
      <c r="E26" s="32">
        <f>SUMIFS('Harmonogram naborów wniosków'!J:J,'Harmonogram naborów wniosków'!N:N,Monitoring!B26)</f>
        <v>619280329.85000002</v>
      </c>
    </row>
    <row r="27" spans="1:5" x14ac:dyDescent="0.3">
      <c r="A27" s="38" t="s">
        <v>276</v>
      </c>
      <c r="B27" s="30" t="s">
        <v>236</v>
      </c>
      <c r="C27" s="30">
        <f>COUNTIF('Harmonogram naborów wniosków'!N:N,Monitoring!B27)</f>
        <v>1</v>
      </c>
      <c r="D27" s="31">
        <f>SUMIFS('Harmonogram naborów wniosków'!K:K,'Harmonogram naborów wniosków'!N:N,Monitoring!B27)</f>
        <v>36971466.516853929</v>
      </c>
      <c r="E27" s="32">
        <f>SUMIFS('Harmonogram naborów wniosków'!J:J,'Harmonogram naborów wniosków'!N:N,Monitoring!B27)</f>
        <v>164523026</v>
      </c>
    </row>
    <row r="28" spans="1:5" ht="15.6" x14ac:dyDescent="0.3">
      <c r="A28" s="23"/>
      <c r="B28" s="210" t="s">
        <v>268</v>
      </c>
      <c r="C28" s="207">
        <f>SUM(C23:C27)</f>
        <v>85</v>
      </c>
      <c r="D28" s="208">
        <f t="shared" ref="D28:E28" si="0">SUM(D23:D27)</f>
        <v>991270443.25898886</v>
      </c>
      <c r="E28" s="209">
        <f t="shared" si="0"/>
        <v>4411153472.5024996</v>
      </c>
    </row>
    <row r="31" spans="1:5" ht="15.6" x14ac:dyDescent="0.3">
      <c r="A31" s="37" t="s">
        <v>277</v>
      </c>
      <c r="B31" s="37"/>
      <c r="C31" s="23"/>
      <c r="D31" s="23"/>
      <c r="E31" s="23"/>
    </row>
    <row r="32" spans="1:5" x14ac:dyDescent="0.3">
      <c r="A32" s="30"/>
      <c r="B32" s="30"/>
      <c r="C32" s="30"/>
      <c r="D32" s="219" t="s">
        <v>240</v>
      </c>
      <c r="E32" s="219" t="s">
        <v>241</v>
      </c>
    </row>
    <row r="33" spans="1:6" x14ac:dyDescent="0.3">
      <c r="A33" s="220"/>
      <c r="B33" s="221">
        <v>45565</v>
      </c>
      <c r="C33" s="220">
        <f>COUNTIFS('Harmonogram naborów wniosków'!P:P,"&lt;="&amp;Monitoring!B33)</f>
        <v>33</v>
      </c>
      <c r="D33" s="222">
        <f>SUMIFS('Harmonogram naborów wniosków'!K:K,'Harmonogram naborów wniosków'!P:P,"&lt;="&amp;B33)</f>
        <v>453159510.19999999</v>
      </c>
      <c r="E33" s="223">
        <f>SUMIFS('Harmonogram naborów wniosków'!J:J,'Harmonogram naborów wniosków'!P:P,"&lt;="&amp;B33)</f>
        <v>2016559820.3900001</v>
      </c>
      <c r="F33" t="s">
        <v>278</v>
      </c>
    </row>
    <row r="34" spans="1:6" x14ac:dyDescent="0.3">
      <c r="A34" s="221">
        <v>45566</v>
      </c>
      <c r="B34" s="221">
        <v>45657</v>
      </c>
      <c r="C34" s="220">
        <f>COUNTIFS('Harmonogram naborów wniosków'!P:P,"&gt;="&amp;Monitoring!A34,'Harmonogram naborów wniosków'!P:P,"&lt;="&amp;Monitoring!B34)</f>
        <v>26</v>
      </c>
      <c r="D34" s="222">
        <f>SUMIFS('Harmonogram naborów wniosków'!K:K,'Harmonogram naborów wniosków'!P:P,"&gt;="&amp;A34,'Harmonogram naborów wniosków'!P:P,"&lt;="&amp;B34)</f>
        <v>281653752.75561798</v>
      </c>
      <c r="E34" s="223">
        <f>SUMIFS('Harmonogram naborów wniosków'!J:J,'Harmonogram naborów wniosków'!P:P,"&gt;="&amp;A34,'Harmonogram naborów wniosków'!P:P,"&lt;="&amp;B34)</f>
        <v>1253359199.7625</v>
      </c>
      <c r="F34" t="s">
        <v>279</v>
      </c>
    </row>
    <row r="35" spans="1:6" x14ac:dyDescent="0.3">
      <c r="A35" s="220"/>
      <c r="B35" s="221">
        <v>45658</v>
      </c>
      <c r="C35" s="220">
        <f>COUNTIFS('Harmonogram naborów wniosków'!P:P,"&gt;="&amp;Monitoring!B35)</f>
        <v>27</v>
      </c>
      <c r="D35" s="222">
        <f>SUMIFS('Harmonogram naborów wniosków'!K:K,'Harmonogram naborów wniosków'!P:P,"&gt;="&amp;B35)</f>
        <v>256457180.30337077</v>
      </c>
      <c r="E35" s="223">
        <f>SUMIFS('Harmonogram naborów wniosków'!J:J,'Harmonogram naborów wniosków'!P:P,"&gt;="&amp;B35)</f>
        <v>1141234452.3499999</v>
      </c>
      <c r="F35" t="s">
        <v>280</v>
      </c>
    </row>
    <row r="36" spans="1:6" ht="15.6" x14ac:dyDescent="0.3">
      <c r="B36" s="210" t="s">
        <v>268</v>
      </c>
      <c r="C36" s="207">
        <f>SUM(C33:C35)</f>
        <v>86</v>
      </c>
      <c r="D36" s="211">
        <f>SUM(D33:D35)</f>
        <v>991270443.25898862</v>
      </c>
      <c r="E36" s="212">
        <f>SUM(E33:E35)</f>
        <v>4411153472.5025005</v>
      </c>
    </row>
  </sheetData>
  <mergeCells count="1">
    <mergeCell ref="A3:B3"/>
  </mergeCells>
  <dataValidations disablePrompts="1" count="1">
    <dataValidation type="decimal" operator="greaterThan" allowBlank="1" showInputMessage="1" showErrorMessage="1" sqref="D18:E18" xr:uid="{9F606661-2154-47EA-9A80-5A215B138B77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6"/>
  <sheetViews>
    <sheetView topLeftCell="A108" workbookViewId="0">
      <selection activeCell="A111" sqref="A111"/>
    </sheetView>
  </sheetViews>
  <sheetFormatPr defaultRowHeight="14.4" x14ac:dyDescent="0.3"/>
  <cols>
    <col min="1" max="1" width="20.109375" style="2" customWidth="1"/>
    <col min="2" max="2" width="8" style="234" customWidth="1"/>
    <col min="3" max="3" width="44.6640625" customWidth="1"/>
    <col min="4" max="4" width="19" style="1" customWidth="1"/>
    <col min="5" max="5" width="19.33203125" style="1" customWidth="1"/>
    <col min="6" max="6" width="43.109375" style="1" customWidth="1"/>
    <col min="7" max="7" width="111.33203125" style="33" bestFit="1" customWidth="1"/>
  </cols>
  <sheetData>
    <row r="1" spans="1:7" ht="15.6" x14ac:dyDescent="0.3">
      <c r="A1" s="16" t="s">
        <v>281</v>
      </c>
      <c r="B1" s="231" t="s">
        <v>282</v>
      </c>
      <c r="C1" s="17" t="s">
        <v>283</v>
      </c>
      <c r="D1" s="18" t="s">
        <v>284</v>
      </c>
      <c r="E1" s="19" t="s">
        <v>285</v>
      </c>
      <c r="F1" s="11"/>
      <c r="G1" s="46"/>
    </row>
    <row r="2" spans="1:7" ht="57.6" x14ac:dyDescent="0.3">
      <c r="A2" s="12" t="s">
        <v>286</v>
      </c>
      <c r="B2" s="232" t="s">
        <v>287</v>
      </c>
      <c r="C2" s="4" t="s">
        <v>288</v>
      </c>
      <c r="D2" s="5" t="s">
        <v>289</v>
      </c>
      <c r="E2" s="15" t="s">
        <v>49</v>
      </c>
      <c r="F2" s="5"/>
      <c r="G2" s="46" t="str">
        <f t="shared" ref="G2:G33" si="0">CONCATENATE(A2," ",D2)</f>
        <v>01.01 B+R - organizacje badawcze</v>
      </c>
    </row>
    <row r="3" spans="1:7" ht="43.2" x14ac:dyDescent="0.3">
      <c r="A3" s="12" t="s">
        <v>17</v>
      </c>
      <c r="B3" s="232" t="s">
        <v>287</v>
      </c>
      <c r="C3" s="4" t="s">
        <v>288</v>
      </c>
      <c r="D3" s="5" t="s">
        <v>290</v>
      </c>
      <c r="E3" s="15" t="s">
        <v>274</v>
      </c>
      <c r="F3" s="5"/>
      <c r="G3" s="46" t="str">
        <f t="shared" si="0"/>
        <v>01.02 Badania, rozwój i innowacje w przedsiębiorstwach</v>
      </c>
    </row>
    <row r="4" spans="1:7" ht="43.2" x14ac:dyDescent="0.3">
      <c r="A4" s="12" t="s">
        <v>291</v>
      </c>
      <c r="B4" s="232" t="s">
        <v>287</v>
      </c>
      <c r="C4" s="4" t="s">
        <v>288</v>
      </c>
      <c r="D4" s="5" t="s">
        <v>292</v>
      </c>
      <c r="E4" s="15" t="s">
        <v>97</v>
      </c>
      <c r="F4" s="5"/>
      <c r="G4" s="46" t="str">
        <f t="shared" si="0"/>
        <v>01.03 Ekosystem RIS</v>
      </c>
    </row>
    <row r="5" spans="1:7" ht="57.6" x14ac:dyDescent="0.3">
      <c r="A5" s="12" t="s">
        <v>23</v>
      </c>
      <c r="B5" s="232" t="s">
        <v>293</v>
      </c>
      <c r="C5" s="4" t="s">
        <v>294</v>
      </c>
      <c r="D5" s="8" t="s">
        <v>295</v>
      </c>
      <c r="E5" s="15" t="s">
        <v>49</v>
      </c>
      <c r="F5" s="5"/>
      <c r="G5" s="46" t="str">
        <f t="shared" si="0"/>
        <v xml:space="preserve">01.04 Cyfryzacja administracji publicznej </v>
      </c>
    </row>
    <row r="6" spans="1:7" ht="62.4" x14ac:dyDescent="0.3">
      <c r="A6" s="12" t="s">
        <v>296</v>
      </c>
      <c r="B6" s="232" t="s">
        <v>293</v>
      </c>
      <c r="C6" s="4" t="s">
        <v>294</v>
      </c>
      <c r="D6" s="8" t="s">
        <v>297</v>
      </c>
      <c r="E6" s="15" t="s">
        <v>49</v>
      </c>
      <c r="F6" s="5"/>
      <c r="G6" s="46" t="str">
        <f t="shared" si="0"/>
        <v>01.05 Innowacyjne rozwiązania cyfrowe w ochronie zdrowia</v>
      </c>
    </row>
    <row r="7" spans="1:7" ht="43.2" x14ac:dyDescent="0.3">
      <c r="A7" s="12" t="s">
        <v>298</v>
      </c>
      <c r="B7" s="232" t="s">
        <v>299</v>
      </c>
      <c r="C7" s="4" t="s">
        <v>300</v>
      </c>
      <c r="D7" s="5" t="s">
        <v>301</v>
      </c>
      <c r="E7" s="15" t="s">
        <v>97</v>
      </c>
      <c r="F7" s="5"/>
      <c r="G7" s="46" t="str">
        <f t="shared" si="0"/>
        <v>01.06 Rozwój przedsiębiorczości - EFRR</v>
      </c>
    </row>
    <row r="8" spans="1:7" ht="57.6" x14ac:dyDescent="0.3">
      <c r="A8" s="12" t="s">
        <v>302</v>
      </c>
      <c r="B8" s="232" t="s">
        <v>299</v>
      </c>
      <c r="C8" s="4" t="s">
        <v>300</v>
      </c>
      <c r="D8" s="5" t="s">
        <v>303</v>
      </c>
      <c r="E8" s="15" t="s">
        <v>49</v>
      </c>
      <c r="F8" s="5"/>
      <c r="G8" s="46" t="str">
        <f t="shared" si="0"/>
        <v>01.07 Klastry</v>
      </c>
    </row>
    <row r="9" spans="1:7" ht="43.2" x14ac:dyDescent="0.3">
      <c r="A9" s="12" t="s">
        <v>304</v>
      </c>
      <c r="B9" s="232" t="s">
        <v>299</v>
      </c>
      <c r="C9" s="4" t="s">
        <v>300</v>
      </c>
      <c r="D9" s="5" t="s">
        <v>305</v>
      </c>
      <c r="E9" s="15" t="s">
        <v>274</v>
      </c>
      <c r="F9" s="5"/>
      <c r="G9" s="46" t="str">
        <f t="shared" si="0"/>
        <v>01.08 Innowacje cyfrowe w MŚP</v>
      </c>
    </row>
    <row r="10" spans="1:7" ht="57.6" x14ac:dyDescent="0.3">
      <c r="A10" s="12" t="s">
        <v>306</v>
      </c>
      <c r="B10" s="232" t="s">
        <v>299</v>
      </c>
      <c r="C10" s="4" t="s">
        <v>300</v>
      </c>
      <c r="D10" s="5" t="s">
        <v>307</v>
      </c>
      <c r="E10" s="15" t="s">
        <v>236</v>
      </c>
      <c r="F10" s="5"/>
      <c r="G10" s="46" t="str">
        <f t="shared" si="0"/>
        <v>01.09 Konkurencyjność przedsiębiorstw (IF)</v>
      </c>
    </row>
    <row r="11" spans="1:7" ht="43.2" x14ac:dyDescent="0.3">
      <c r="A11" s="12" t="s">
        <v>308</v>
      </c>
      <c r="B11" s="232" t="s">
        <v>299</v>
      </c>
      <c r="C11" s="4" t="s">
        <v>300</v>
      </c>
      <c r="D11" s="5" t="s">
        <v>309</v>
      </c>
      <c r="E11" s="15" t="s">
        <v>274</v>
      </c>
      <c r="F11" s="5"/>
      <c r="G11" s="46" t="str">
        <f t="shared" si="0"/>
        <v>01.10 Promocja eksportu i internacjonalizacja MŚP</v>
      </c>
    </row>
    <row r="12" spans="1:7" ht="72" x14ac:dyDescent="0.3">
      <c r="A12" s="12" t="s">
        <v>30</v>
      </c>
      <c r="B12" s="228" t="s">
        <v>310</v>
      </c>
      <c r="C12" s="4" t="s">
        <v>311</v>
      </c>
      <c r="D12" s="10" t="s">
        <v>312</v>
      </c>
      <c r="E12" s="15" t="s">
        <v>49</v>
      </c>
      <c r="F12" s="5"/>
      <c r="G12" s="46" t="str">
        <f t="shared" si="0"/>
        <v xml:space="preserve">02.01 Efektywność energetyczna budynków użyteczności publicznej </v>
      </c>
    </row>
    <row r="13" spans="1:7" ht="72" x14ac:dyDescent="0.3">
      <c r="A13" s="12" t="s">
        <v>37</v>
      </c>
      <c r="B13" s="228" t="s">
        <v>310</v>
      </c>
      <c r="C13" s="4" t="s">
        <v>311</v>
      </c>
      <c r="D13" s="10" t="s">
        <v>313</v>
      </c>
      <c r="E13" s="15" t="s">
        <v>49</v>
      </c>
      <c r="F13" s="5"/>
      <c r="G13" s="46" t="str">
        <f t="shared" si="0"/>
        <v>02.02 Efektywność energetyczna budynków użyteczności publicznej - ZIT</v>
      </c>
    </row>
    <row r="14" spans="1:7" ht="57.6" x14ac:dyDescent="0.3">
      <c r="A14" s="12" t="s">
        <v>314</v>
      </c>
      <c r="B14" s="228" t="s">
        <v>310</v>
      </c>
      <c r="C14" s="4" t="s">
        <v>311</v>
      </c>
      <c r="D14" s="5" t="s">
        <v>315</v>
      </c>
      <c r="E14" s="15" t="s">
        <v>49</v>
      </c>
      <c r="F14" s="5"/>
      <c r="G14" s="46" t="str">
        <f t="shared" si="0"/>
        <v xml:space="preserve">02.03 Efektywność energetyczna budynków mieszkalnych </v>
      </c>
    </row>
    <row r="15" spans="1:7" ht="57.6" x14ac:dyDescent="0.3">
      <c r="A15" s="12" t="s">
        <v>316</v>
      </c>
      <c r="B15" s="228" t="s">
        <v>310</v>
      </c>
      <c r="C15" s="4" t="s">
        <v>311</v>
      </c>
      <c r="D15" s="5" t="s">
        <v>317</v>
      </c>
      <c r="E15" s="15" t="s">
        <v>49</v>
      </c>
      <c r="F15" s="5"/>
      <c r="G15" s="46" t="str">
        <f t="shared" si="0"/>
        <v>02.04 Efektywność energetyczna budynków mieszkalnych - ZIT</v>
      </c>
    </row>
    <row r="16" spans="1:7" ht="100.8" x14ac:dyDescent="0.3">
      <c r="A16" s="12" t="s">
        <v>318</v>
      </c>
      <c r="B16" s="228" t="s">
        <v>310</v>
      </c>
      <c r="C16" s="4" t="s">
        <v>311</v>
      </c>
      <c r="D16" s="5" t="s">
        <v>319</v>
      </c>
      <c r="E16" s="15" t="s">
        <v>236</v>
      </c>
      <c r="F16" s="5"/>
      <c r="G16" s="46" t="str">
        <f t="shared" si="0"/>
        <v>02.05 Efektywność energetyczna budynków użyteczności publicznej, mieszkalnych i przedsiębiorstw (IF)</v>
      </c>
    </row>
    <row r="17" spans="1:7" ht="57.6" x14ac:dyDescent="0.3">
      <c r="A17" s="12" t="s">
        <v>40</v>
      </c>
      <c r="B17" s="232" t="s">
        <v>320</v>
      </c>
      <c r="C17" s="4" t="s">
        <v>321</v>
      </c>
      <c r="D17" s="6" t="s">
        <v>322</v>
      </c>
      <c r="E17" s="15" t="s">
        <v>49</v>
      </c>
      <c r="F17" s="5"/>
      <c r="G17" s="46" t="str">
        <f t="shared" si="0"/>
        <v>02.06 Odnawialne źródła energii</v>
      </c>
    </row>
    <row r="18" spans="1:7" ht="57.6" x14ac:dyDescent="0.3">
      <c r="A18" s="12" t="s">
        <v>323</v>
      </c>
      <c r="B18" s="232" t="s">
        <v>320</v>
      </c>
      <c r="C18" s="4" t="s">
        <v>321</v>
      </c>
      <c r="D18" s="6" t="s">
        <v>324</v>
      </c>
      <c r="E18" s="15" t="s">
        <v>236</v>
      </c>
      <c r="F18" s="5"/>
      <c r="G18" s="46" t="str">
        <f t="shared" si="0"/>
        <v>02.07 Odnawialne źródła energii (IF)</v>
      </c>
    </row>
    <row r="19" spans="1:7" ht="57.6" x14ac:dyDescent="0.3">
      <c r="A19" s="13" t="s">
        <v>325</v>
      </c>
      <c r="B19" s="232" t="s">
        <v>326</v>
      </c>
      <c r="C19" s="4" t="s">
        <v>327</v>
      </c>
      <c r="D19" s="5" t="s">
        <v>328</v>
      </c>
      <c r="E19" s="15" t="s">
        <v>49</v>
      </c>
      <c r="F19" s="5"/>
      <c r="G19" s="46" t="str">
        <f t="shared" si="0"/>
        <v>02.08 Wsparcie dla klimatu</v>
      </c>
    </row>
    <row r="20" spans="1:7" ht="57.6" x14ac:dyDescent="0.3">
      <c r="A20" s="13" t="s">
        <v>329</v>
      </c>
      <c r="B20" s="232" t="s">
        <v>326</v>
      </c>
      <c r="C20" s="4" t="s">
        <v>327</v>
      </c>
      <c r="D20" s="5" t="s">
        <v>330</v>
      </c>
      <c r="E20" s="15" t="s">
        <v>49</v>
      </c>
      <c r="F20" s="5"/>
      <c r="G20" s="46" t="str">
        <f t="shared" si="0"/>
        <v>02.09 Wsparcie dla klimatu - ZIT</v>
      </c>
    </row>
    <row r="21" spans="1:7" ht="57.6" x14ac:dyDescent="0.3">
      <c r="A21" s="13" t="s">
        <v>331</v>
      </c>
      <c r="B21" s="232" t="s">
        <v>326</v>
      </c>
      <c r="C21" s="4" t="s">
        <v>327</v>
      </c>
      <c r="D21" s="5" t="s">
        <v>332</v>
      </c>
      <c r="E21" s="15" t="s">
        <v>49</v>
      </c>
      <c r="F21" s="5"/>
      <c r="G21" s="46" t="str">
        <f t="shared" si="0"/>
        <v>02.10 Wzmocnienie potencjału służb ratowniczych</v>
      </c>
    </row>
    <row r="22" spans="1:7" ht="57.6" x14ac:dyDescent="0.3">
      <c r="A22" s="12" t="s">
        <v>44</v>
      </c>
      <c r="B22" s="232" t="s">
        <v>333</v>
      </c>
      <c r="C22" s="4" t="s">
        <v>334</v>
      </c>
      <c r="D22" s="5" t="s">
        <v>45</v>
      </c>
      <c r="E22" s="15" t="s">
        <v>49</v>
      </c>
      <c r="F22" s="5"/>
      <c r="G22" s="46" t="str">
        <f t="shared" si="0"/>
        <v>02.11 Infrastruktura wodno-kanalizacyjna</v>
      </c>
    </row>
    <row r="23" spans="1:7" ht="57.6" x14ac:dyDescent="0.3">
      <c r="A23" s="12" t="s">
        <v>53</v>
      </c>
      <c r="B23" s="232" t="s">
        <v>335</v>
      </c>
      <c r="C23" s="4" t="s">
        <v>336</v>
      </c>
      <c r="D23" s="6" t="s">
        <v>337</v>
      </c>
      <c r="E23" s="15" t="s">
        <v>49</v>
      </c>
      <c r="F23" s="5"/>
      <c r="G23" s="46" t="str">
        <f t="shared" si="0"/>
        <v>02.12 Gospodarka odpadami komunalnymi</v>
      </c>
    </row>
    <row r="24" spans="1:7" ht="57.6" x14ac:dyDescent="0.3">
      <c r="A24" s="12" t="s">
        <v>338</v>
      </c>
      <c r="B24" s="232" t="s">
        <v>335</v>
      </c>
      <c r="C24" s="4" t="s">
        <v>336</v>
      </c>
      <c r="D24" s="6" t="s">
        <v>339</v>
      </c>
      <c r="E24" s="15" t="s">
        <v>236</v>
      </c>
      <c r="F24" s="5"/>
      <c r="G24" s="46" t="str">
        <f t="shared" si="0"/>
        <v>02.13 Gospodarka o obiegu zamkniętym (IF)</v>
      </c>
    </row>
    <row r="25" spans="1:7" ht="57.6" x14ac:dyDescent="0.3">
      <c r="A25" s="12" t="s">
        <v>57</v>
      </c>
      <c r="B25" s="232" t="s">
        <v>340</v>
      </c>
      <c r="C25" s="4" t="s">
        <v>341</v>
      </c>
      <c r="D25" s="5" t="s">
        <v>342</v>
      </c>
      <c r="E25" s="15" t="s">
        <v>49</v>
      </c>
      <c r="F25" s="5"/>
      <c r="G25" s="46" t="str">
        <f t="shared" si="0"/>
        <v>02.14 Ochrona przyrody i bioróżnorodność</v>
      </c>
    </row>
    <row r="26" spans="1:7" ht="57.6" x14ac:dyDescent="0.3">
      <c r="A26" s="12" t="s">
        <v>60</v>
      </c>
      <c r="B26" s="232" t="s">
        <v>340</v>
      </c>
      <c r="C26" s="4" t="s">
        <v>341</v>
      </c>
      <c r="D26" s="5" t="s">
        <v>343</v>
      </c>
      <c r="E26" s="15" t="s">
        <v>49</v>
      </c>
      <c r="F26" s="5"/>
      <c r="G26" s="46" t="str">
        <f t="shared" si="0"/>
        <v>02.15 Ochrona przyrody i bioróżnorodność - ZIT</v>
      </c>
    </row>
    <row r="27" spans="1:7" ht="57.6" x14ac:dyDescent="0.3">
      <c r="A27" s="12" t="s">
        <v>344</v>
      </c>
      <c r="B27" s="232" t="s">
        <v>340</v>
      </c>
      <c r="C27" s="4" t="s">
        <v>341</v>
      </c>
      <c r="D27" s="6" t="s">
        <v>345</v>
      </c>
      <c r="E27" s="15" t="s">
        <v>49</v>
      </c>
      <c r="F27" s="5"/>
      <c r="G27" s="46" t="str">
        <f t="shared" si="0"/>
        <v>02.16 Rekultywacja terenów zdegradowanych</v>
      </c>
    </row>
    <row r="28" spans="1:7" ht="57.6" x14ac:dyDescent="0.3">
      <c r="A28" s="14" t="s">
        <v>69</v>
      </c>
      <c r="B28" s="232" t="s">
        <v>346</v>
      </c>
      <c r="C28" s="4" t="s">
        <v>347</v>
      </c>
      <c r="D28" s="5" t="s">
        <v>348</v>
      </c>
      <c r="E28" s="15" t="s">
        <v>49</v>
      </c>
      <c r="F28" s="5"/>
      <c r="G28" s="46" t="str">
        <f t="shared" si="0"/>
        <v>03.01 Zakup taboru autobusowego/ trolejbusowego - ZIT</v>
      </c>
    </row>
    <row r="29" spans="1:7" ht="57.6" x14ac:dyDescent="0.3">
      <c r="A29" s="14" t="s">
        <v>73</v>
      </c>
      <c r="B29" s="232" t="s">
        <v>346</v>
      </c>
      <c r="C29" s="4" t="s">
        <v>347</v>
      </c>
      <c r="D29" s="5" t="s">
        <v>349</v>
      </c>
      <c r="E29" s="15" t="s">
        <v>49</v>
      </c>
      <c r="F29" s="5"/>
      <c r="G29" s="46" t="str">
        <f t="shared" si="0"/>
        <v>03.02 Zrównoważona multimodalna mobilność miejska  - ZIT</v>
      </c>
    </row>
    <row r="30" spans="1:7" ht="57.6" x14ac:dyDescent="0.3">
      <c r="A30" s="14" t="s">
        <v>77</v>
      </c>
      <c r="B30" s="232" t="s">
        <v>346</v>
      </c>
      <c r="C30" s="4" t="s">
        <v>347</v>
      </c>
      <c r="D30" s="5" t="s">
        <v>350</v>
      </c>
      <c r="E30" s="15" t="s">
        <v>49</v>
      </c>
      <c r="F30" s="5"/>
      <c r="G30" s="46" t="str">
        <f t="shared" si="0"/>
        <v>03.03 Regionalne Trasy Rowerowe - ZIT</v>
      </c>
    </row>
    <row r="31" spans="1:7" ht="72" x14ac:dyDescent="0.3">
      <c r="A31" s="12" t="s">
        <v>351</v>
      </c>
      <c r="B31" s="232" t="s">
        <v>352</v>
      </c>
      <c r="C31" s="4" t="s">
        <v>353</v>
      </c>
      <c r="D31" s="6" t="s">
        <v>354</v>
      </c>
      <c r="E31" s="15" t="s">
        <v>49</v>
      </c>
      <c r="F31" s="5"/>
      <c r="G31" s="46" t="str">
        <f t="shared" si="0"/>
        <v>04.01 Drogi wojewódzkie</v>
      </c>
    </row>
    <row r="32" spans="1:7" ht="72" x14ac:dyDescent="0.3">
      <c r="A32" s="12" t="s">
        <v>355</v>
      </c>
      <c r="B32" s="232" t="s">
        <v>352</v>
      </c>
      <c r="C32" s="4" t="s">
        <v>353</v>
      </c>
      <c r="D32" s="6" t="s">
        <v>356</v>
      </c>
      <c r="E32" s="15" t="s">
        <v>49</v>
      </c>
      <c r="F32" s="5"/>
      <c r="G32" s="46" t="str">
        <f t="shared" si="0"/>
        <v>04.02 Drogi gminne i powiatowe</v>
      </c>
    </row>
    <row r="33" spans="1:7" ht="72" x14ac:dyDescent="0.3">
      <c r="A33" s="12" t="s">
        <v>357</v>
      </c>
      <c r="B33" s="232" t="s">
        <v>352</v>
      </c>
      <c r="C33" s="4" t="s">
        <v>353</v>
      </c>
      <c r="D33" s="6" t="s">
        <v>358</v>
      </c>
      <c r="E33" s="15" t="s">
        <v>49</v>
      </c>
      <c r="F33" s="5"/>
      <c r="G33" s="46" t="str">
        <f t="shared" si="0"/>
        <v>04.03 Regionalny tabor kolejowy</v>
      </c>
    </row>
    <row r="34" spans="1:7" ht="129.6" x14ac:dyDescent="0.3">
      <c r="A34" s="14" t="s">
        <v>83</v>
      </c>
      <c r="B34" s="232" t="s">
        <v>359</v>
      </c>
      <c r="C34" s="4" t="s">
        <v>360</v>
      </c>
      <c r="D34" s="5" t="s">
        <v>361</v>
      </c>
      <c r="E34" s="15" t="s">
        <v>97</v>
      </c>
      <c r="F34" s="5"/>
      <c r="G34" s="46" t="str">
        <f t="shared" ref="G34:G65" si="1">CONCATENATE(A34," ",D34)</f>
        <v>05.01 Aktywizacja zawodowa poprzez PUP</v>
      </c>
    </row>
    <row r="35" spans="1:7" ht="129.6" x14ac:dyDescent="0.3">
      <c r="A35" s="14" t="s">
        <v>87</v>
      </c>
      <c r="B35" s="232" t="s">
        <v>359</v>
      </c>
      <c r="C35" s="4" t="s">
        <v>360</v>
      </c>
      <c r="D35" s="5" t="s">
        <v>362</v>
      </c>
      <c r="E35" s="15" t="s">
        <v>97</v>
      </c>
      <c r="F35" s="5"/>
      <c r="G35" s="46" t="str">
        <f t="shared" si="1"/>
        <v>05.02 Aktywizacja zawodowa poprzez OHP</v>
      </c>
    </row>
    <row r="36" spans="1:7" ht="129.6" x14ac:dyDescent="0.3">
      <c r="A36" s="14" t="s">
        <v>91</v>
      </c>
      <c r="B36" s="232" t="s">
        <v>359</v>
      </c>
      <c r="C36" s="4" t="s">
        <v>360</v>
      </c>
      <c r="D36" s="5" t="s">
        <v>363</v>
      </c>
      <c r="E36" s="15" t="s">
        <v>97</v>
      </c>
      <c r="F36" s="5"/>
      <c r="G36" s="46" t="str">
        <f t="shared" si="1"/>
        <v>05.03 ALMA - staże zagraniczne dla młodych</v>
      </c>
    </row>
    <row r="37" spans="1:7" ht="129.6" x14ac:dyDescent="0.3">
      <c r="A37" s="14" t="s">
        <v>364</v>
      </c>
      <c r="B37" s="232" t="s">
        <v>359</v>
      </c>
      <c r="C37" s="4" t="s">
        <v>360</v>
      </c>
      <c r="D37" s="5" t="s">
        <v>365</v>
      </c>
      <c r="E37" s="15" t="s">
        <v>97</v>
      </c>
      <c r="F37" s="5"/>
      <c r="G37" s="46" t="str">
        <f t="shared" si="1"/>
        <v>05.04 Aktywizacja zawodowa osób pracujących</v>
      </c>
    </row>
    <row r="38" spans="1:7" ht="129.6" x14ac:dyDescent="0.3">
      <c r="A38" s="14" t="s">
        <v>366</v>
      </c>
      <c r="B38" s="232" t="s">
        <v>359</v>
      </c>
      <c r="C38" s="4" t="s">
        <v>360</v>
      </c>
      <c r="D38" s="5" t="s">
        <v>367</v>
      </c>
      <c r="E38" s="15" t="s">
        <v>97</v>
      </c>
      <c r="F38" s="5"/>
      <c r="G38" s="46" t="str">
        <f t="shared" si="1"/>
        <v>05.05 Usługi EURES</v>
      </c>
    </row>
    <row r="39" spans="1:7" ht="100.8" x14ac:dyDescent="0.3">
      <c r="A39" s="14" t="s">
        <v>94</v>
      </c>
      <c r="B39" s="232" t="s">
        <v>368</v>
      </c>
      <c r="C39" s="4" t="s">
        <v>369</v>
      </c>
      <c r="D39" s="5" t="s">
        <v>370</v>
      </c>
      <c r="E39" s="15" t="s">
        <v>97</v>
      </c>
      <c r="F39" s="5"/>
      <c r="G39" s="46" t="str">
        <f t="shared" si="1"/>
        <v>05.06 Szkolenia dla pracowników IRP</v>
      </c>
    </row>
    <row r="40" spans="1:7" ht="100.8" x14ac:dyDescent="0.3">
      <c r="A40" s="14" t="s">
        <v>371</v>
      </c>
      <c r="B40" s="232" t="s">
        <v>368</v>
      </c>
      <c r="C40" s="4" t="s">
        <v>369</v>
      </c>
      <c r="D40" s="5" t="s">
        <v>372</v>
      </c>
      <c r="E40" s="15" t="s">
        <v>97</v>
      </c>
      <c r="F40" s="5"/>
      <c r="G40" s="46" t="str">
        <f t="shared" si="1"/>
        <v>05.07 Opracowanie modelu prognozowania i monitorowania zmian na rynku pracy.</v>
      </c>
    </row>
    <row r="41" spans="1:7" ht="100.8" x14ac:dyDescent="0.3">
      <c r="A41" s="14" t="s">
        <v>373</v>
      </c>
      <c r="B41" s="232" t="s">
        <v>368</v>
      </c>
      <c r="C41" s="4" t="s">
        <v>369</v>
      </c>
      <c r="D41" s="5" t="s">
        <v>374</v>
      </c>
      <c r="E41" s="15" t="s">
        <v>97</v>
      </c>
      <c r="F41" s="5"/>
      <c r="G41" s="46" t="str">
        <f t="shared" si="1"/>
        <v>05.08 Budowanie sieci współpracy międzyinstytucjonalnej i promocji w zakresie poradnictwa zawodowego.</v>
      </c>
    </row>
    <row r="42" spans="1:7" ht="100.8" x14ac:dyDescent="0.3">
      <c r="A42" s="14" t="s">
        <v>375</v>
      </c>
      <c r="B42" s="232" t="s">
        <v>368</v>
      </c>
      <c r="C42" s="4" t="s">
        <v>369</v>
      </c>
      <c r="D42" s="5" t="s">
        <v>376</v>
      </c>
      <c r="E42" s="15" t="s">
        <v>97</v>
      </c>
      <c r="F42" s="5"/>
      <c r="G42" s="46" t="str">
        <f t="shared" si="1"/>
        <v>05.09 EURES-T Beskydy</v>
      </c>
    </row>
    <row r="43" spans="1:7" ht="100.8" x14ac:dyDescent="0.3">
      <c r="A43" s="14" t="s">
        <v>377</v>
      </c>
      <c r="B43" s="232" t="s">
        <v>368</v>
      </c>
      <c r="C43" s="4" t="s">
        <v>369</v>
      </c>
      <c r="D43" s="5" t="s">
        <v>378</v>
      </c>
      <c r="E43" s="15" t="s">
        <v>97</v>
      </c>
      <c r="F43" s="5"/>
      <c r="G43" s="46" t="str">
        <f t="shared" si="1"/>
        <v>05.10 EURES dla PSZ</v>
      </c>
    </row>
    <row r="44" spans="1:7" ht="100.8" x14ac:dyDescent="0.3">
      <c r="A44" s="14" t="s">
        <v>98</v>
      </c>
      <c r="B44" s="232" t="s">
        <v>379</v>
      </c>
      <c r="C44" s="4" t="s">
        <v>380</v>
      </c>
      <c r="D44" s="5" t="s">
        <v>381</v>
      </c>
      <c r="E44" s="15" t="s">
        <v>97</v>
      </c>
      <c r="F44" s="5"/>
      <c r="G44" s="46" t="str">
        <f t="shared" si="1"/>
        <v>05.11 Równość szans na rynku pracy</v>
      </c>
    </row>
    <row r="45" spans="1:7" ht="72" x14ac:dyDescent="0.3">
      <c r="A45" s="14" t="s">
        <v>101</v>
      </c>
      <c r="B45" s="232" t="s">
        <v>382</v>
      </c>
      <c r="C45" s="4" t="s">
        <v>383</v>
      </c>
      <c r="D45" s="5" t="s">
        <v>384</v>
      </c>
      <c r="E45" s="15" t="s">
        <v>272</v>
      </c>
      <c r="F45" s="5"/>
      <c r="G45" s="46" t="str">
        <f t="shared" si="1"/>
        <v>05.12 Regionalne programy zdrowotne</v>
      </c>
    </row>
    <row r="46" spans="1:7" ht="72" x14ac:dyDescent="0.3">
      <c r="A46" s="14" t="s">
        <v>106</v>
      </c>
      <c r="B46" s="232" t="s">
        <v>382</v>
      </c>
      <c r="C46" s="4" t="s">
        <v>383</v>
      </c>
      <c r="D46" s="5" t="s">
        <v>385</v>
      </c>
      <c r="E46" s="15" t="s">
        <v>272</v>
      </c>
      <c r="F46" s="5"/>
      <c r="G46" s="46" t="str">
        <f t="shared" si="1"/>
        <v>05.13 Zdrowy pracownik</v>
      </c>
    </row>
    <row r="47" spans="1:7" ht="72" x14ac:dyDescent="0.3">
      <c r="A47" s="14" t="s">
        <v>109</v>
      </c>
      <c r="B47" s="232" t="s">
        <v>382</v>
      </c>
      <c r="C47" s="4" t="s">
        <v>383</v>
      </c>
      <c r="D47" s="5" t="s">
        <v>386</v>
      </c>
      <c r="E47" s="15" t="s">
        <v>97</v>
      </c>
      <c r="F47" s="5"/>
      <c r="G47" s="46" t="str">
        <f t="shared" si="1"/>
        <v>05.14 Usługi rozwojowe dla kadr administracji samorządowej</v>
      </c>
    </row>
    <row r="48" spans="1:7" ht="72" x14ac:dyDescent="0.3">
      <c r="A48" s="14" t="s">
        <v>387</v>
      </c>
      <c r="B48" s="232" t="s">
        <v>382</v>
      </c>
      <c r="C48" s="4" t="s">
        <v>383</v>
      </c>
      <c r="D48" s="5" t="s">
        <v>388</v>
      </c>
      <c r="E48" s="15" t="s">
        <v>97</v>
      </c>
      <c r="F48" s="5"/>
      <c r="G48" s="46" t="str">
        <f t="shared" si="1"/>
        <v>05.15 Usługi rozwojowe dla przedsiębiorców - PSF</v>
      </c>
    </row>
    <row r="49" spans="1:7" ht="72" x14ac:dyDescent="0.3">
      <c r="A49" s="14" t="s">
        <v>112</v>
      </c>
      <c r="B49" s="232" t="s">
        <v>382</v>
      </c>
      <c r="C49" s="4" t="s">
        <v>383</v>
      </c>
      <c r="D49" s="5" t="s">
        <v>389</v>
      </c>
      <c r="E49" s="15" t="s">
        <v>97</v>
      </c>
      <c r="F49" s="5"/>
      <c r="G49" s="46" t="str">
        <f t="shared" si="1"/>
        <v>05.16 Outplacement EFS+</v>
      </c>
    </row>
    <row r="50" spans="1:7" ht="129.6" x14ac:dyDescent="0.3">
      <c r="A50" s="14" t="s">
        <v>115</v>
      </c>
      <c r="B50" s="232" t="s">
        <v>390</v>
      </c>
      <c r="C50" s="4" t="s">
        <v>391</v>
      </c>
      <c r="D50" s="5" t="s">
        <v>392</v>
      </c>
      <c r="E50" s="15" t="s">
        <v>272</v>
      </c>
      <c r="F50" s="5"/>
      <c r="G50" s="46" t="str">
        <f t="shared" si="1"/>
        <v>06.01 Edukacja przedszkolna</v>
      </c>
    </row>
    <row r="51" spans="1:7" ht="129.6" x14ac:dyDescent="0.3">
      <c r="A51" s="14" t="s">
        <v>393</v>
      </c>
      <c r="B51" s="232" t="s">
        <v>390</v>
      </c>
      <c r="C51" s="4" t="s">
        <v>391</v>
      </c>
      <c r="D51" s="5" t="s">
        <v>394</v>
      </c>
      <c r="E51" s="15" t="s">
        <v>272</v>
      </c>
      <c r="F51" s="5"/>
      <c r="G51" s="46" t="str">
        <f t="shared" si="1"/>
        <v>06.02 Kształcenie ogólne</v>
      </c>
    </row>
    <row r="52" spans="1:7" ht="129.6" x14ac:dyDescent="0.3">
      <c r="A52" s="14" t="s">
        <v>118</v>
      </c>
      <c r="B52" s="232" t="s">
        <v>390</v>
      </c>
      <c r="C52" s="4" t="s">
        <v>391</v>
      </c>
      <c r="D52" s="5" t="s">
        <v>395</v>
      </c>
      <c r="E52" s="15" t="s">
        <v>272</v>
      </c>
      <c r="F52" s="5"/>
      <c r="G52" s="46" t="str">
        <f t="shared" si="1"/>
        <v>06.03 Kształcenie zawodowe</v>
      </c>
    </row>
    <row r="53" spans="1:7" ht="129.6" x14ac:dyDescent="0.3">
      <c r="A53" s="14" t="s">
        <v>396</v>
      </c>
      <c r="B53" s="232" t="s">
        <v>390</v>
      </c>
      <c r="C53" s="4" t="s">
        <v>391</v>
      </c>
      <c r="D53" s="5" t="s">
        <v>397</v>
      </c>
      <c r="E53" s="15" t="s">
        <v>272</v>
      </c>
      <c r="F53" s="5"/>
      <c r="G53" s="46" t="str">
        <f t="shared" si="1"/>
        <v>06.04 Strategiczne projekty dla obszaru edukacji</v>
      </c>
    </row>
    <row r="54" spans="1:7" ht="129.6" x14ac:dyDescent="0.3">
      <c r="A54" s="14" t="s">
        <v>121</v>
      </c>
      <c r="B54" s="232" t="s">
        <v>390</v>
      </c>
      <c r="C54" s="4" t="s">
        <v>391</v>
      </c>
      <c r="D54" s="5" t="s">
        <v>398</v>
      </c>
      <c r="E54" s="15" t="s">
        <v>272</v>
      </c>
      <c r="F54" s="5"/>
      <c r="G54" s="46" t="str">
        <f t="shared" si="1"/>
        <v>06.05 Wsparcie edukacyjne społeczności objetych LSR</v>
      </c>
    </row>
    <row r="55" spans="1:7" ht="129.6" x14ac:dyDescent="0.3">
      <c r="A55" s="14" t="s">
        <v>124</v>
      </c>
      <c r="B55" s="232" t="s">
        <v>399</v>
      </c>
      <c r="C55" s="4" t="s">
        <v>400</v>
      </c>
      <c r="D55" s="5" t="s">
        <v>401</v>
      </c>
      <c r="E55" s="15" t="s">
        <v>97</v>
      </c>
      <c r="F55" s="5"/>
      <c r="G55" s="46" t="str">
        <f t="shared" si="1"/>
        <v>06.06 Kształcenie osób dorosłych - EFS+</v>
      </c>
    </row>
    <row r="56" spans="1:7" ht="129.6" x14ac:dyDescent="0.3">
      <c r="A56" s="14" t="s">
        <v>126</v>
      </c>
      <c r="B56" s="232" t="s">
        <v>399</v>
      </c>
      <c r="C56" s="4" t="s">
        <v>400</v>
      </c>
      <c r="D56" s="5" t="s">
        <v>402</v>
      </c>
      <c r="E56" s="15" t="s">
        <v>97</v>
      </c>
      <c r="F56" s="5"/>
      <c r="G56" s="46" t="str">
        <f t="shared" si="1"/>
        <v>06.07 Upskilling pathways - RLKS</v>
      </c>
    </row>
    <row r="57" spans="1:7" ht="129.6" x14ac:dyDescent="0.3">
      <c r="A57" s="14" t="s">
        <v>403</v>
      </c>
      <c r="B57" s="232" t="s">
        <v>399</v>
      </c>
      <c r="C57" s="4" t="s">
        <v>400</v>
      </c>
      <c r="D57" s="5" t="s">
        <v>404</v>
      </c>
      <c r="E57" s="15" t="s">
        <v>97</v>
      </c>
      <c r="F57" s="5"/>
      <c r="G57" s="46" t="str">
        <f t="shared" si="1"/>
        <v>06.08 Upskilling pathways</v>
      </c>
    </row>
    <row r="58" spans="1:7" ht="129.6" x14ac:dyDescent="0.3">
      <c r="A58" s="14" t="s">
        <v>128</v>
      </c>
      <c r="B58" s="232" t="s">
        <v>399</v>
      </c>
      <c r="C58" s="4" t="s">
        <v>400</v>
      </c>
      <c r="D58" s="5" t="s">
        <v>405</v>
      </c>
      <c r="E58" s="15" t="s">
        <v>97</v>
      </c>
      <c r="F58" s="5"/>
      <c r="G58" s="46" t="str">
        <f t="shared" si="1"/>
        <v>06.09 Lokalne Ośrodki Wiedzy i Edukacji - LOWE</v>
      </c>
    </row>
    <row r="59" spans="1:7" ht="72" x14ac:dyDescent="0.3">
      <c r="A59" s="12" t="s">
        <v>406</v>
      </c>
      <c r="B59" s="232" t="s">
        <v>407</v>
      </c>
      <c r="C59" s="4" t="s">
        <v>408</v>
      </c>
      <c r="D59" s="5" t="s">
        <v>409</v>
      </c>
      <c r="E59" s="15" t="s">
        <v>272</v>
      </c>
      <c r="F59" s="5"/>
      <c r="G59" s="46" t="str">
        <f t="shared" si="1"/>
        <v>07.01 Ekonomia społeczna</v>
      </c>
    </row>
    <row r="60" spans="1:7" ht="72" x14ac:dyDescent="0.3">
      <c r="A60" s="12" t="s">
        <v>410</v>
      </c>
      <c r="B60" s="232" t="s">
        <v>407</v>
      </c>
      <c r="C60" s="4" t="s">
        <v>408</v>
      </c>
      <c r="D60" s="5" t="s">
        <v>411</v>
      </c>
      <c r="E60" s="15" t="s">
        <v>272</v>
      </c>
      <c r="F60" s="5"/>
      <c r="G60" s="46" t="str">
        <f t="shared" si="1"/>
        <v>07.02 Aktywna integracja</v>
      </c>
    </row>
    <row r="61" spans="1:7" ht="43.2" x14ac:dyDescent="0.3">
      <c r="A61" s="12" t="s">
        <v>131</v>
      </c>
      <c r="B61" s="232" t="s">
        <v>412</v>
      </c>
      <c r="C61" s="4" t="s">
        <v>413</v>
      </c>
      <c r="D61" s="5" t="s">
        <v>414</v>
      </c>
      <c r="E61" s="15" t="s">
        <v>97</v>
      </c>
      <c r="F61" s="5"/>
      <c r="G61" s="46" t="str">
        <f t="shared" si="1"/>
        <v>07.03 Integracja społeczno - gospodarcza cudzoziemców</v>
      </c>
    </row>
    <row r="62" spans="1:7" ht="158.4" x14ac:dyDescent="0.3">
      <c r="A62" s="14" t="s">
        <v>415</v>
      </c>
      <c r="B62" s="232" t="s">
        <v>416</v>
      </c>
      <c r="C62" s="4" t="s">
        <v>417</v>
      </c>
      <c r="D62" s="5" t="s">
        <v>418</v>
      </c>
      <c r="E62" s="15" t="s">
        <v>272</v>
      </c>
      <c r="F62" s="5"/>
      <c r="G62" s="46" t="str">
        <f t="shared" si="1"/>
        <v>07.04 Usługi społeczne</v>
      </c>
    </row>
    <row r="63" spans="1:7" ht="158.4" x14ac:dyDescent="0.3">
      <c r="A63" s="14" t="s">
        <v>419</v>
      </c>
      <c r="B63" s="232" t="s">
        <v>416</v>
      </c>
      <c r="C63" s="4" t="s">
        <v>417</v>
      </c>
      <c r="D63" s="5" t="s">
        <v>420</v>
      </c>
      <c r="E63" s="15" t="s">
        <v>272</v>
      </c>
      <c r="F63" s="5"/>
      <c r="G63" s="46" t="str">
        <f t="shared" si="1"/>
        <v>07.05 Strategiczne projekty dla obszaru usług społecznych</v>
      </c>
    </row>
    <row r="64" spans="1:7" ht="158.4" x14ac:dyDescent="0.3">
      <c r="A64" s="14" t="s">
        <v>133</v>
      </c>
      <c r="B64" s="232" t="s">
        <v>416</v>
      </c>
      <c r="C64" s="4" t="s">
        <v>417</v>
      </c>
      <c r="D64" s="5" t="s">
        <v>421</v>
      </c>
      <c r="E64" s="15" t="s">
        <v>272</v>
      </c>
      <c r="F64" s="5"/>
      <c r="G64" s="46" t="str">
        <f t="shared" si="1"/>
        <v>07.06 Ochrona zdrowia</v>
      </c>
    </row>
    <row r="65" spans="1:7" ht="72" x14ac:dyDescent="0.3">
      <c r="A65" s="14" t="s">
        <v>422</v>
      </c>
      <c r="B65" s="232" t="s">
        <v>423</v>
      </c>
      <c r="C65" s="4" t="s">
        <v>424</v>
      </c>
      <c r="D65" s="5" t="s">
        <v>425</v>
      </c>
      <c r="E65" s="15" t="s">
        <v>272</v>
      </c>
      <c r="F65" s="5"/>
      <c r="G65" s="46" t="str">
        <f t="shared" si="1"/>
        <v>07.07 Wsparcie rodziny, dzieci i młodzieży oraz deinstytucjonalizacja pieczy zastępczej</v>
      </c>
    </row>
    <row r="66" spans="1:7" ht="43.2" x14ac:dyDescent="0.3">
      <c r="A66" s="14" t="s">
        <v>426</v>
      </c>
      <c r="B66" s="232" t="s">
        <v>423</v>
      </c>
      <c r="C66" s="4" t="s">
        <v>424</v>
      </c>
      <c r="D66" s="5" t="s">
        <v>427</v>
      </c>
      <c r="E66" s="15" t="s">
        <v>272</v>
      </c>
      <c r="F66" s="5"/>
      <c r="G66" s="46" t="str">
        <f t="shared" ref="G66:G97" si="2">CONCATENATE(A66," ",D66)</f>
        <v>07.08 Strategiczne projekty dla obszaru wsparcia rodziny</v>
      </c>
    </row>
    <row r="67" spans="1:7" ht="72" x14ac:dyDescent="0.3">
      <c r="A67" s="14" t="s">
        <v>135</v>
      </c>
      <c r="B67" s="232" t="s">
        <v>423</v>
      </c>
      <c r="C67" s="4" t="s">
        <v>424</v>
      </c>
      <c r="D67" s="5" t="s">
        <v>428</v>
      </c>
      <c r="E67" s="15" t="s">
        <v>272</v>
      </c>
      <c r="F67" s="5"/>
      <c r="G67" s="46" t="str">
        <f t="shared" si="2"/>
        <v>07.09 Usługi dla osób w kryzysie bezdomności lub  dotkniętych wykluczeniem z dostępu do mieszkań</v>
      </c>
    </row>
    <row r="68" spans="1:7" ht="43.2" x14ac:dyDescent="0.3">
      <c r="A68" s="14" t="s">
        <v>139</v>
      </c>
      <c r="B68" s="232" t="s">
        <v>423</v>
      </c>
      <c r="C68" s="4" t="s">
        <v>424</v>
      </c>
      <c r="D68" s="5" t="s">
        <v>429</v>
      </c>
      <c r="E68" s="15" t="s">
        <v>272</v>
      </c>
      <c r="F68" s="5"/>
      <c r="G68" s="46" t="str">
        <f t="shared" si="2"/>
        <v>07.10 Wsparcie społeczności objętych LSR</v>
      </c>
    </row>
    <row r="69" spans="1:7" ht="72" x14ac:dyDescent="0.3">
      <c r="A69" s="14" t="s">
        <v>141</v>
      </c>
      <c r="B69" s="232" t="s">
        <v>423</v>
      </c>
      <c r="C69" s="4" t="s">
        <v>424</v>
      </c>
      <c r="D69" s="5" t="s">
        <v>430</v>
      </c>
      <c r="E69" s="15" t="s">
        <v>272</v>
      </c>
      <c r="F69" s="5"/>
      <c r="G69" s="46" t="str">
        <f t="shared" si="2"/>
        <v>07.11 Wsparcie społeczności mniejszościowych, w tym społeczności romskich</v>
      </c>
    </row>
    <row r="70" spans="1:7" ht="43.2" x14ac:dyDescent="0.3">
      <c r="A70" s="14" t="s">
        <v>143</v>
      </c>
      <c r="B70" s="232" t="s">
        <v>423</v>
      </c>
      <c r="C70" s="4" t="s">
        <v>424</v>
      </c>
      <c r="D70" s="5" t="s">
        <v>431</v>
      </c>
      <c r="E70" s="15" t="s">
        <v>272</v>
      </c>
      <c r="F70" s="5"/>
      <c r="G70" s="46" t="str">
        <f t="shared" si="2"/>
        <v>07.12 Rozwój dialogu obywatelskiego</v>
      </c>
    </row>
    <row r="71" spans="1:7" ht="86.4" x14ac:dyDescent="0.3">
      <c r="A71" s="12" t="s">
        <v>147</v>
      </c>
      <c r="B71" s="232" t="s">
        <v>432</v>
      </c>
      <c r="C71" s="4" t="s">
        <v>433</v>
      </c>
      <c r="D71" s="6" t="s">
        <v>434</v>
      </c>
      <c r="E71" s="15" t="s">
        <v>49</v>
      </c>
      <c r="F71" s="5"/>
      <c r="G71" s="46" t="str">
        <f t="shared" si="2"/>
        <v>08.01 Infrastruktura szkolnictwa wyższego</v>
      </c>
    </row>
    <row r="72" spans="1:7" ht="86.4" x14ac:dyDescent="0.3">
      <c r="A72" s="12" t="s">
        <v>435</v>
      </c>
      <c r="B72" s="232" t="s">
        <v>432</v>
      </c>
      <c r="C72" s="4" t="s">
        <v>433</v>
      </c>
      <c r="D72" s="6" t="s">
        <v>436</v>
      </c>
      <c r="E72" s="15" t="s">
        <v>49</v>
      </c>
      <c r="F72" s="5"/>
      <c r="G72" s="46" t="str">
        <f t="shared" si="2"/>
        <v>08.02 Edukacja włączająca</v>
      </c>
    </row>
    <row r="73" spans="1:7" ht="86.4" x14ac:dyDescent="0.3">
      <c r="A73" s="12" t="s">
        <v>437</v>
      </c>
      <c r="B73" s="232" t="s">
        <v>432</v>
      </c>
      <c r="C73" s="4" t="s">
        <v>433</v>
      </c>
      <c r="D73" s="6" t="s">
        <v>438</v>
      </c>
      <c r="E73" s="15" t="s">
        <v>49</v>
      </c>
      <c r="F73" s="5"/>
      <c r="G73" s="46" t="str">
        <f t="shared" si="2"/>
        <v>08.03 Infrastruktura szkolnictwa zawodowego - ZIT</v>
      </c>
    </row>
    <row r="74" spans="1:7" ht="86.4" x14ac:dyDescent="0.3">
      <c r="A74" s="12" t="s">
        <v>439</v>
      </c>
      <c r="B74" s="232" t="s">
        <v>440</v>
      </c>
      <c r="C74" s="4" t="s">
        <v>441</v>
      </c>
      <c r="D74" s="6" t="s">
        <v>442</v>
      </c>
      <c r="E74" s="15" t="s">
        <v>49</v>
      </c>
      <c r="F74" s="5"/>
      <c r="G74" s="46" t="str">
        <f t="shared" si="2"/>
        <v>08.04 Infrastruktura usług społecznych</v>
      </c>
    </row>
    <row r="75" spans="1:7" ht="72" x14ac:dyDescent="0.3">
      <c r="A75" s="12" t="s">
        <v>153</v>
      </c>
      <c r="B75" s="232" t="s">
        <v>443</v>
      </c>
      <c r="C75" s="4" t="s">
        <v>444</v>
      </c>
      <c r="D75" s="6" t="s">
        <v>445</v>
      </c>
      <c r="E75" s="15" t="s">
        <v>49</v>
      </c>
      <c r="F75" s="5"/>
      <c r="G75" s="46" t="str">
        <f t="shared" si="2"/>
        <v>08.05 E-zdrowie</v>
      </c>
    </row>
    <row r="76" spans="1:7" ht="72" x14ac:dyDescent="0.3">
      <c r="A76" s="12" t="s">
        <v>157</v>
      </c>
      <c r="B76" s="232" t="s">
        <v>443</v>
      </c>
      <c r="C76" s="4" t="s">
        <v>444</v>
      </c>
      <c r="D76" s="5" t="s">
        <v>446</v>
      </c>
      <c r="E76" s="15" t="s">
        <v>49</v>
      </c>
      <c r="F76" s="5"/>
      <c r="G76" s="46" t="str">
        <f t="shared" si="2"/>
        <v>08.06 Infrastruktura ochrony zdrowia</v>
      </c>
    </row>
    <row r="77" spans="1:7" ht="57.6" x14ac:dyDescent="0.3">
      <c r="A77" s="12" t="s">
        <v>161</v>
      </c>
      <c r="B77" s="232" t="s">
        <v>447</v>
      </c>
      <c r="C77" s="4" t="s">
        <v>448</v>
      </c>
      <c r="D77" s="5" t="s">
        <v>449</v>
      </c>
      <c r="E77" s="15" t="s">
        <v>49</v>
      </c>
      <c r="F77" s="5"/>
      <c r="G77" s="46" t="str">
        <f t="shared" si="2"/>
        <v>08.07 Kultura i turystyka szczebla regionalnego</v>
      </c>
    </row>
    <row r="78" spans="1:7" ht="72" x14ac:dyDescent="0.3">
      <c r="A78" s="12" t="s">
        <v>168</v>
      </c>
      <c r="B78" s="232" t="s">
        <v>175</v>
      </c>
      <c r="C78" s="4" t="s">
        <v>450</v>
      </c>
      <c r="D78" s="6" t="s">
        <v>451</v>
      </c>
      <c r="E78" s="15" t="s">
        <v>49</v>
      </c>
      <c r="F78" s="5"/>
      <c r="G78" s="46" t="str">
        <f t="shared" si="2"/>
        <v>09.01 Zwiększenie roli kultury i turystyki w rozwoju subregionalnym - ZIT</v>
      </c>
    </row>
    <row r="79" spans="1:7" ht="72" x14ac:dyDescent="0.3">
      <c r="A79" s="12" t="s">
        <v>177</v>
      </c>
      <c r="B79" s="232" t="s">
        <v>175</v>
      </c>
      <c r="C79" s="4" t="s">
        <v>450</v>
      </c>
      <c r="D79" s="6" t="s">
        <v>452</v>
      </c>
      <c r="E79" s="15" t="s">
        <v>272</v>
      </c>
      <c r="F79" s="5"/>
      <c r="G79" s="46" t="str">
        <f t="shared" si="2"/>
        <v>09.02 Rozwój ZIT</v>
      </c>
    </row>
    <row r="80" spans="1:7" ht="72" x14ac:dyDescent="0.3">
      <c r="A80" s="12" t="s">
        <v>453</v>
      </c>
      <c r="B80" s="232" t="s">
        <v>175</v>
      </c>
      <c r="C80" s="4" t="s">
        <v>450</v>
      </c>
      <c r="D80" s="6" t="s">
        <v>454</v>
      </c>
      <c r="E80" s="15" t="s">
        <v>49</v>
      </c>
      <c r="F80" s="5"/>
      <c r="G80" s="46" t="str">
        <f t="shared" si="2"/>
        <v>09.03 Rewitalizacja obszarów miejskich</v>
      </c>
    </row>
    <row r="81" spans="1:7" ht="72" x14ac:dyDescent="0.3">
      <c r="A81" s="12" t="s">
        <v>455</v>
      </c>
      <c r="B81" s="232" t="s">
        <v>175</v>
      </c>
      <c r="C81" s="4" t="s">
        <v>450</v>
      </c>
      <c r="D81" s="6" t="s">
        <v>456</v>
      </c>
      <c r="E81" s="15" t="s">
        <v>236</v>
      </c>
      <c r="F81" s="5"/>
      <c r="G81" s="46" t="str">
        <f t="shared" si="2"/>
        <v>09.04 Rewitalizacja obszarów miejskich (IF)</v>
      </c>
    </row>
    <row r="82" spans="1:7" ht="86.4" x14ac:dyDescent="0.3">
      <c r="A82" s="230" t="s">
        <v>457</v>
      </c>
      <c r="B82" s="232" t="s">
        <v>458</v>
      </c>
      <c r="C82" s="4" t="s">
        <v>459</v>
      </c>
      <c r="D82" s="6" t="s">
        <v>460</v>
      </c>
      <c r="E82" s="15" t="s">
        <v>49</v>
      </c>
      <c r="F82" s="5"/>
      <c r="G82" s="46" t="str">
        <f t="shared" si="2"/>
        <v>09.05 Rewitalizacja obszarów wiejskich</v>
      </c>
    </row>
    <row r="83" spans="1:7" ht="109.2" x14ac:dyDescent="0.3">
      <c r="A83" s="12" t="s">
        <v>461</v>
      </c>
      <c r="B83" s="232" t="s">
        <v>462</v>
      </c>
      <c r="C83" s="4" t="s">
        <v>197</v>
      </c>
      <c r="D83" s="9" t="s">
        <v>463</v>
      </c>
      <c r="E83" s="15" t="s">
        <v>274</v>
      </c>
      <c r="F83" s="5"/>
      <c r="G83" s="46" t="str">
        <f t="shared" si="2"/>
        <v xml:space="preserve">10.1 Wykorzystanie terenów zdegradowanych  w celu rozwoju regionu poprzez inwestycje przedsiębiorstw </v>
      </c>
    </row>
    <row r="84" spans="1:7" ht="100.8" x14ac:dyDescent="0.3">
      <c r="A84" s="12" t="s">
        <v>181</v>
      </c>
      <c r="B84" s="232" t="s">
        <v>462</v>
      </c>
      <c r="C84" s="4" t="s">
        <v>197</v>
      </c>
      <c r="D84" s="6" t="s">
        <v>464</v>
      </c>
      <c r="E84" s="15" t="s">
        <v>274</v>
      </c>
      <c r="F84" s="5"/>
      <c r="G84" s="46" t="str">
        <f t="shared" si="2"/>
        <v>10.2 Badania, rozwój i innowacje w przedsiębiorstwach na rzecz transformacji</v>
      </c>
    </row>
    <row r="85" spans="1:7" ht="100.8" x14ac:dyDescent="0.3">
      <c r="A85" s="12" t="s">
        <v>185</v>
      </c>
      <c r="B85" s="232" t="s">
        <v>462</v>
      </c>
      <c r="C85" s="4" t="s">
        <v>197</v>
      </c>
      <c r="D85" s="8" t="s">
        <v>465</v>
      </c>
      <c r="E85" s="15" t="s">
        <v>274</v>
      </c>
      <c r="F85" s="5"/>
      <c r="G85" s="46" t="str">
        <f t="shared" si="2"/>
        <v>10.3 Wsparcie MŚP na rzecz transformacji</v>
      </c>
    </row>
    <row r="86" spans="1:7" ht="100.8" x14ac:dyDescent="0.3">
      <c r="A86" s="12" t="s">
        <v>189</v>
      </c>
      <c r="B86" s="232" t="s">
        <v>462</v>
      </c>
      <c r="C86" s="4" t="s">
        <v>197</v>
      </c>
      <c r="D86" s="5" t="s">
        <v>190</v>
      </c>
      <c r="E86" s="15" t="s">
        <v>274</v>
      </c>
      <c r="F86" s="5"/>
      <c r="G86" s="46" t="str">
        <f t="shared" si="2"/>
        <v>10.4 Wsparcie dużych przedsiębiorstw na rzecz transformacji</v>
      </c>
    </row>
    <row r="87" spans="1:7" ht="100.8" x14ac:dyDescent="0.3">
      <c r="A87" s="12" t="s">
        <v>466</v>
      </c>
      <c r="B87" s="232" t="s">
        <v>462</v>
      </c>
      <c r="C87" s="4" t="s">
        <v>197</v>
      </c>
      <c r="D87" s="5" t="s">
        <v>467</v>
      </c>
      <c r="E87" s="15" t="s">
        <v>49</v>
      </c>
      <c r="F87" s="5"/>
      <c r="G87" s="46" t="str">
        <f t="shared" si="2"/>
        <v>10.5 Innowacyjna infrastruktura wspierająca gospodarkę.</v>
      </c>
    </row>
    <row r="88" spans="1:7" ht="100.8" x14ac:dyDescent="0.3">
      <c r="A88" s="12" t="s">
        <v>193</v>
      </c>
      <c r="B88" s="232" t="s">
        <v>462</v>
      </c>
      <c r="C88" s="4" t="s">
        <v>197</v>
      </c>
      <c r="D88" s="5" t="s">
        <v>468</v>
      </c>
      <c r="E88" s="15" t="s">
        <v>49</v>
      </c>
      <c r="F88" s="5"/>
      <c r="G88" s="46" t="str">
        <f t="shared" si="2"/>
        <v>10.6 Rozwój energetyki rozproszonej opartej o odnawialne źródła energii </v>
      </c>
    </row>
    <row r="89" spans="1:7" ht="100.8" x14ac:dyDescent="0.3">
      <c r="A89" s="12" t="s">
        <v>200</v>
      </c>
      <c r="B89" s="232" t="s">
        <v>462</v>
      </c>
      <c r="C89" s="4" t="s">
        <v>197</v>
      </c>
      <c r="D89" s="5" t="s">
        <v>201</v>
      </c>
      <c r="E89" s="15" t="s">
        <v>49</v>
      </c>
      <c r="F89" s="5"/>
      <c r="G89" s="46" t="str">
        <f t="shared" si="2"/>
        <v>10.7 Rekultywacja terenów poprzemysłowych, zdewastowanych, zdegradowanych na cele środowiskowe</v>
      </c>
    </row>
    <row r="90" spans="1:7" ht="100.8" x14ac:dyDescent="0.3">
      <c r="A90" s="12" t="s">
        <v>207</v>
      </c>
      <c r="B90" s="232" t="s">
        <v>462</v>
      </c>
      <c r="C90" s="4" t="s">
        <v>197</v>
      </c>
      <c r="D90" s="5" t="s">
        <v>469</v>
      </c>
      <c r="E90" s="15" t="s">
        <v>49</v>
      </c>
      <c r="F90" s="5"/>
      <c r="G90" s="46" t="str">
        <f t="shared" si="2"/>
        <v>10.8 Poprawa  stosunków wodnych  na obszarze oddziaływania kopalń </v>
      </c>
    </row>
    <row r="91" spans="1:7" ht="115.2" x14ac:dyDescent="0.3">
      <c r="A91" s="12" t="s">
        <v>210</v>
      </c>
      <c r="B91" s="232" t="s">
        <v>462</v>
      </c>
      <c r="C91" s="4" t="s">
        <v>197</v>
      </c>
      <c r="D91" s="5" t="s">
        <v>470</v>
      </c>
      <c r="E91" s="15" t="s">
        <v>49</v>
      </c>
      <c r="F91" s="5"/>
      <c r="G91" s="46" t="str">
        <f t="shared" si="2"/>
        <v>10.9 Ponowne wykorzystanie terenów poprzemysłowych, zdewastowanych, zdegradowanych na cele rozwojowe regionu.</v>
      </c>
    </row>
    <row r="92" spans="1:7" ht="100.8" x14ac:dyDescent="0.3">
      <c r="A92" s="12" t="s">
        <v>471</v>
      </c>
      <c r="B92" s="232" t="s">
        <v>462</v>
      </c>
      <c r="C92" s="4" t="s">
        <v>197</v>
      </c>
      <c r="D92" s="5" t="s">
        <v>472</v>
      </c>
      <c r="E92" s="15" t="s">
        <v>49</v>
      </c>
      <c r="F92" s="5"/>
      <c r="G92" s="46" t="str">
        <f t="shared" si="2"/>
        <v>10.10 Wsparcie planowania transformacji</v>
      </c>
    </row>
    <row r="93" spans="1:7" ht="100.8" x14ac:dyDescent="0.3">
      <c r="A93" s="12" t="s">
        <v>473</v>
      </c>
      <c r="B93" s="232" t="s">
        <v>462</v>
      </c>
      <c r="C93" s="4" t="s">
        <v>197</v>
      </c>
      <c r="D93" s="5" t="s">
        <v>474</v>
      </c>
      <c r="E93" s="15" t="s">
        <v>49</v>
      </c>
      <c r="F93" s="5"/>
      <c r="G93" s="46" t="str">
        <f t="shared" si="2"/>
        <v>10.11 Systemowe zarządzanie terenami poprzemysłowymi </v>
      </c>
    </row>
    <row r="94" spans="1:7" ht="100.8" x14ac:dyDescent="0.3">
      <c r="A94" s="12" t="s">
        <v>215</v>
      </c>
      <c r="B94" s="232" t="s">
        <v>462</v>
      </c>
      <c r="C94" s="4" t="s">
        <v>197</v>
      </c>
      <c r="D94" s="5" t="s">
        <v>475</v>
      </c>
      <c r="E94" s="15" t="s">
        <v>49</v>
      </c>
      <c r="F94" s="5"/>
      <c r="G94" s="46" t="str">
        <f t="shared" si="2"/>
        <v>10.12 Poprawa mobilności mieszkańców regionu i spójności transportowej podregionów górniczych</v>
      </c>
    </row>
    <row r="95" spans="1:7" ht="100.8" x14ac:dyDescent="0.3">
      <c r="A95" s="12" t="s">
        <v>220</v>
      </c>
      <c r="B95" s="232" t="s">
        <v>462</v>
      </c>
      <c r="C95" s="4" t="s">
        <v>197</v>
      </c>
      <c r="D95" s="5" t="s">
        <v>476</v>
      </c>
      <c r="E95" s="15" t="s">
        <v>49</v>
      </c>
      <c r="F95" s="5"/>
      <c r="G95" s="46" t="str">
        <f t="shared" si="2"/>
        <v>10.13 Infrastruktura szkolnictwa wyższego na potrzeby transformacji</v>
      </c>
    </row>
    <row r="96" spans="1:7" ht="100.8" x14ac:dyDescent="0.3">
      <c r="A96" s="12" t="s">
        <v>477</v>
      </c>
      <c r="B96" s="232" t="s">
        <v>462</v>
      </c>
      <c r="C96" s="4" t="s">
        <v>197</v>
      </c>
      <c r="D96" s="5" t="s">
        <v>478</v>
      </c>
      <c r="E96" s="15" t="s">
        <v>49</v>
      </c>
      <c r="F96" s="5"/>
      <c r="G96" s="46" t="str">
        <f t="shared" si="2"/>
        <v>10.14 Infrastruktura kształcenia zawodowego</v>
      </c>
    </row>
    <row r="97" spans="1:7" ht="100.8" x14ac:dyDescent="0.3">
      <c r="A97" s="12" t="s">
        <v>479</v>
      </c>
      <c r="B97" s="232" t="s">
        <v>462</v>
      </c>
      <c r="C97" s="4" t="s">
        <v>197</v>
      </c>
      <c r="D97" s="5" t="s">
        <v>480</v>
      </c>
      <c r="E97" s="15" t="s">
        <v>49</v>
      </c>
      <c r="F97" s="5"/>
      <c r="G97" s="46" t="str">
        <f t="shared" si="2"/>
        <v>10.15 Wykorzystanie endogenicznych potencjałów podregionów górniczych</v>
      </c>
    </row>
    <row r="98" spans="1:7" ht="100.8" x14ac:dyDescent="0.3">
      <c r="A98" s="12" t="s">
        <v>481</v>
      </c>
      <c r="B98" s="232" t="s">
        <v>462</v>
      </c>
      <c r="C98" s="4" t="s">
        <v>197</v>
      </c>
      <c r="D98" s="5" t="s">
        <v>482</v>
      </c>
      <c r="E98" s="15" t="s">
        <v>97</v>
      </c>
      <c r="F98" s="5"/>
      <c r="G98" s="46" t="str">
        <f t="shared" ref="G98:G111" si="3">CONCATENATE(A98," ",D98)</f>
        <v>10.16 Rozwój przedsiębiorczości  FST</v>
      </c>
    </row>
    <row r="99" spans="1:7" ht="100.8" x14ac:dyDescent="0.3">
      <c r="A99" s="12" t="s">
        <v>225</v>
      </c>
      <c r="B99" s="232" t="s">
        <v>462</v>
      </c>
      <c r="C99" s="4" t="s">
        <v>197</v>
      </c>
      <c r="D99" s="5" t="s">
        <v>483</v>
      </c>
      <c r="E99" s="15" t="s">
        <v>97</v>
      </c>
      <c r="F99" s="5"/>
      <c r="G99" s="46" t="str">
        <f t="shared" si="3"/>
        <v>10.17 Kształcenie osób dorosłych - FST</v>
      </c>
    </row>
    <row r="100" spans="1:7" ht="100.8" x14ac:dyDescent="0.3">
      <c r="A100" s="12" t="s">
        <v>227</v>
      </c>
      <c r="B100" s="232" t="s">
        <v>462</v>
      </c>
      <c r="C100" s="4" t="s">
        <v>197</v>
      </c>
      <c r="D100" s="5" t="s">
        <v>484</v>
      </c>
      <c r="E100" s="15" t="s">
        <v>97</v>
      </c>
      <c r="F100" s="5"/>
      <c r="G100" s="46" t="str">
        <f t="shared" si="3"/>
        <v xml:space="preserve">10.18 Redeployment </v>
      </c>
    </row>
    <row r="101" spans="1:7" ht="100.8" x14ac:dyDescent="0.3">
      <c r="A101" s="12" t="s">
        <v>229</v>
      </c>
      <c r="B101" s="232" t="s">
        <v>462</v>
      </c>
      <c r="C101" s="4" t="s">
        <v>197</v>
      </c>
      <c r="D101" s="5" t="s">
        <v>485</v>
      </c>
      <c r="E101" s="15" t="s">
        <v>97</v>
      </c>
      <c r="F101" s="5"/>
      <c r="G101" s="46" t="str">
        <f t="shared" si="3"/>
        <v>10.19 Outpalcement FST</v>
      </c>
    </row>
    <row r="102" spans="1:7" ht="100.8" x14ac:dyDescent="0.3">
      <c r="A102" s="12" t="s">
        <v>486</v>
      </c>
      <c r="B102" s="232" t="s">
        <v>462</v>
      </c>
      <c r="C102" s="4" t="s">
        <v>197</v>
      </c>
      <c r="D102" s="5" t="s">
        <v>487</v>
      </c>
      <c r="E102" s="15" t="s">
        <v>97</v>
      </c>
      <c r="F102" s="5"/>
      <c r="G102" s="46" t="str">
        <f t="shared" si="3"/>
        <v>10.20 Wsparcie na założenie działalności gospodarczej</v>
      </c>
    </row>
    <row r="103" spans="1:7" ht="100.8" x14ac:dyDescent="0.3">
      <c r="A103" s="12" t="s">
        <v>230</v>
      </c>
      <c r="B103" s="232" t="s">
        <v>462</v>
      </c>
      <c r="C103" s="4" t="s">
        <v>197</v>
      </c>
      <c r="D103" s="5" t="s">
        <v>488</v>
      </c>
      <c r="E103" s="15" t="s">
        <v>97</v>
      </c>
      <c r="F103" s="5"/>
      <c r="G103" s="46" t="str">
        <f t="shared" si="3"/>
        <v>10.21 Wsparcie pracowników zaangażowanych w proces transformacji</v>
      </c>
    </row>
    <row r="104" spans="1:7" ht="100.8" x14ac:dyDescent="0.3">
      <c r="A104" s="12" t="s">
        <v>489</v>
      </c>
      <c r="B104" s="232" t="s">
        <v>462</v>
      </c>
      <c r="C104" s="4" t="s">
        <v>197</v>
      </c>
      <c r="D104" s="5" t="s">
        <v>490</v>
      </c>
      <c r="E104" s="15" t="s">
        <v>97</v>
      </c>
      <c r="F104" s="5"/>
      <c r="G104" s="46" t="str">
        <f t="shared" si="3"/>
        <v>10.22 Regionalne Obserwatorim Procesu Transformacji - FST</v>
      </c>
    </row>
    <row r="105" spans="1:7" ht="100.8" x14ac:dyDescent="0.3">
      <c r="A105" s="12" t="s">
        <v>491</v>
      </c>
      <c r="B105" s="232" t="s">
        <v>462</v>
      </c>
      <c r="C105" s="4" t="s">
        <v>197</v>
      </c>
      <c r="D105" s="5" t="s">
        <v>492</v>
      </c>
      <c r="E105" s="15" t="s">
        <v>272</v>
      </c>
      <c r="F105" s="5"/>
      <c r="G105" s="46" t="str">
        <f t="shared" si="3"/>
        <v>10.23 Edukacja zawodowa w procesie sprawiedliwej transformacji regionu</v>
      </c>
    </row>
    <row r="106" spans="1:7" ht="100.8" x14ac:dyDescent="0.3">
      <c r="A106" s="12" t="s">
        <v>493</v>
      </c>
      <c r="B106" s="232" t="s">
        <v>462</v>
      </c>
      <c r="C106" s="4" t="s">
        <v>197</v>
      </c>
      <c r="D106" s="5" t="s">
        <v>494</v>
      </c>
      <c r="E106" s="15" t="s">
        <v>272</v>
      </c>
      <c r="F106" s="5"/>
      <c r="G106" s="46" t="str">
        <f t="shared" si="3"/>
        <v>10.24 Włączenie społeczne - wzmocnienie procesu sprawiedliwej transformacji</v>
      </c>
    </row>
    <row r="107" spans="1:7" ht="100.8" x14ac:dyDescent="0.3">
      <c r="A107" s="12" t="s">
        <v>495</v>
      </c>
      <c r="B107" s="232" t="s">
        <v>462</v>
      </c>
      <c r="C107" s="4" t="s">
        <v>197</v>
      </c>
      <c r="D107" s="7" t="s">
        <v>496</v>
      </c>
      <c r="E107" s="15" t="s">
        <v>272</v>
      </c>
      <c r="F107" s="5"/>
      <c r="G107" s="46" t="str">
        <f t="shared" si="3"/>
        <v>10.25 Rozwój kształcenia wyższego zgodnie z potrzebami zielonej gospodarki</v>
      </c>
    </row>
    <row r="108" spans="1:7" ht="100.8" x14ac:dyDescent="0.3">
      <c r="A108" s="12" t="s">
        <v>497</v>
      </c>
      <c r="B108" s="232" t="s">
        <v>462</v>
      </c>
      <c r="C108" s="4" t="s">
        <v>197</v>
      </c>
      <c r="D108" s="6" t="s">
        <v>498</v>
      </c>
      <c r="E108" s="15" t="s">
        <v>272</v>
      </c>
      <c r="F108" s="5"/>
      <c r="G108" s="46" t="s">
        <v>499</v>
      </c>
    </row>
    <row r="109" spans="1:7" ht="57.6" x14ac:dyDescent="0.3">
      <c r="A109" s="12" t="s">
        <v>500</v>
      </c>
      <c r="B109" s="232" t="s">
        <v>501</v>
      </c>
      <c r="C109" s="4" t="s">
        <v>502</v>
      </c>
      <c r="D109" s="6" t="s">
        <v>503</v>
      </c>
      <c r="E109" s="15" t="s">
        <v>236</v>
      </c>
      <c r="F109" s="5"/>
      <c r="G109" s="46" t="str">
        <f t="shared" si="3"/>
        <v>11.1 Pomoc Technicza EFRR</v>
      </c>
    </row>
    <row r="110" spans="1:7" ht="57.6" x14ac:dyDescent="0.3">
      <c r="A110" s="12" t="s">
        <v>504</v>
      </c>
      <c r="B110" s="232" t="s">
        <v>501</v>
      </c>
      <c r="C110" s="4" t="s">
        <v>502</v>
      </c>
      <c r="D110" s="6" t="s">
        <v>505</v>
      </c>
      <c r="E110" s="15" t="s">
        <v>236</v>
      </c>
      <c r="F110" s="5"/>
      <c r="G110" s="46" t="str">
        <f t="shared" si="3"/>
        <v>12.1 Pomoc Technicza EFS+</v>
      </c>
    </row>
    <row r="111" spans="1:7" ht="57.6" x14ac:dyDescent="0.3">
      <c r="A111" s="224" t="s">
        <v>235</v>
      </c>
      <c r="B111" s="233" t="s">
        <v>501</v>
      </c>
      <c r="C111" s="20" t="s">
        <v>506</v>
      </c>
      <c r="D111" s="21" t="s">
        <v>507</v>
      </c>
      <c r="E111" s="22" t="s">
        <v>236</v>
      </c>
      <c r="F111" s="5"/>
      <c r="G111" s="46" t="str">
        <f t="shared" si="3"/>
        <v>13.01 Pomoc Technicza FST</v>
      </c>
    </row>
    <row r="112" spans="1:7" x14ac:dyDescent="0.3">
      <c r="A112"/>
      <c r="D112" s="3"/>
      <c r="E112" s="3"/>
      <c r="F112" s="3"/>
    </row>
    <row r="113" spans="1:6" x14ac:dyDescent="0.3">
      <c r="A113"/>
      <c r="D113" s="3"/>
      <c r="E113" s="3"/>
      <c r="F113" s="3"/>
    </row>
    <row r="114" spans="1:6" x14ac:dyDescent="0.3">
      <c r="A114"/>
      <c r="D114" s="3"/>
      <c r="E114" s="3"/>
      <c r="F114" s="3"/>
    </row>
    <row r="115" spans="1:6" x14ac:dyDescent="0.3">
      <c r="A115"/>
      <c r="D115" s="3"/>
      <c r="E115" s="3"/>
      <c r="F115" s="3"/>
    </row>
    <row r="116" spans="1:6" x14ac:dyDescent="0.3">
      <c r="A116"/>
      <c r="D116" s="3"/>
      <c r="E116" s="3"/>
      <c r="F116" s="3"/>
    </row>
    <row r="117" spans="1:6" x14ac:dyDescent="0.3">
      <c r="A117"/>
      <c r="D117" s="3"/>
      <c r="E117" s="3"/>
      <c r="F117" s="3"/>
    </row>
    <row r="118" spans="1:6" x14ac:dyDescent="0.3">
      <c r="A118"/>
      <c r="D118" s="3"/>
      <c r="E118" s="3"/>
      <c r="F118" s="3"/>
    </row>
    <row r="119" spans="1:6" x14ac:dyDescent="0.3">
      <c r="A119"/>
      <c r="D119" s="3"/>
      <c r="E119" s="3"/>
      <c r="F119" s="3"/>
    </row>
    <row r="120" spans="1:6" x14ac:dyDescent="0.3">
      <c r="A120"/>
      <c r="D120" s="3"/>
      <c r="E120" s="3"/>
      <c r="F120" s="3"/>
    </row>
    <row r="121" spans="1:6" x14ac:dyDescent="0.3">
      <c r="A121"/>
      <c r="D121" s="3"/>
      <c r="E121" s="3"/>
      <c r="F121" s="3"/>
    </row>
    <row r="122" spans="1:6" x14ac:dyDescent="0.3">
      <c r="A122"/>
      <c r="D122" s="3"/>
      <c r="E122" s="3"/>
      <c r="F122" s="3"/>
    </row>
    <row r="123" spans="1:6" x14ac:dyDescent="0.3">
      <c r="A123"/>
      <c r="D123" s="3"/>
      <c r="E123" s="3"/>
      <c r="F123" s="3"/>
    </row>
    <row r="124" spans="1:6" x14ac:dyDescent="0.3">
      <c r="A124"/>
      <c r="D124" s="3"/>
      <c r="E124" s="3"/>
      <c r="F124" s="3"/>
    </row>
    <row r="125" spans="1:6" x14ac:dyDescent="0.3">
      <c r="A125"/>
      <c r="D125" s="3"/>
      <c r="E125" s="3"/>
      <c r="F125" s="3"/>
    </row>
    <row r="126" spans="1:6" x14ac:dyDescent="0.3">
      <c r="A126"/>
      <c r="D126" s="3"/>
      <c r="E126" s="3"/>
      <c r="F126" s="3"/>
    </row>
    <row r="127" spans="1:6" x14ac:dyDescent="0.3">
      <c r="A127"/>
      <c r="D127" s="3"/>
      <c r="E127" s="3"/>
      <c r="F127" s="3"/>
    </row>
    <row r="128" spans="1:6" x14ac:dyDescent="0.3">
      <c r="A128"/>
      <c r="D128" s="3"/>
      <c r="E128" s="3"/>
      <c r="F128" s="3"/>
    </row>
    <row r="129" spans="1:6" x14ac:dyDescent="0.3">
      <c r="A129"/>
      <c r="D129" s="3"/>
      <c r="E129" s="3"/>
      <c r="F129" s="3"/>
    </row>
    <row r="130" spans="1:6" x14ac:dyDescent="0.3">
      <c r="A130"/>
      <c r="D130" s="3"/>
      <c r="E130" s="3"/>
      <c r="F130" s="3"/>
    </row>
    <row r="131" spans="1:6" x14ac:dyDescent="0.3">
      <c r="A131"/>
      <c r="D131" s="3"/>
      <c r="E131" s="3"/>
      <c r="F131" s="3"/>
    </row>
    <row r="132" spans="1:6" x14ac:dyDescent="0.3">
      <c r="A132"/>
      <c r="D132" s="3"/>
      <c r="E132" s="3"/>
      <c r="F132" s="3"/>
    </row>
    <row r="133" spans="1:6" x14ac:dyDescent="0.3">
      <c r="A133"/>
      <c r="D133" s="3"/>
      <c r="E133" s="3"/>
      <c r="F133" s="3"/>
    </row>
    <row r="134" spans="1:6" x14ac:dyDescent="0.3">
      <c r="A134"/>
      <c r="D134" s="3"/>
      <c r="E134" s="3"/>
      <c r="F134" s="3"/>
    </row>
    <row r="135" spans="1:6" x14ac:dyDescent="0.3">
      <c r="A135"/>
      <c r="D135" s="3"/>
      <c r="E135" s="3"/>
      <c r="F135" s="3"/>
    </row>
    <row r="136" spans="1:6" x14ac:dyDescent="0.3">
      <c r="A136"/>
      <c r="D136" s="3"/>
      <c r="E136" s="3"/>
      <c r="F136" s="3"/>
    </row>
    <row r="137" spans="1:6" x14ac:dyDescent="0.3">
      <c r="A137"/>
      <c r="D137" s="3"/>
      <c r="E137" s="3"/>
      <c r="F137" s="3"/>
    </row>
    <row r="138" spans="1:6" x14ac:dyDescent="0.3">
      <c r="A138"/>
      <c r="D138" s="3"/>
      <c r="E138" s="3"/>
      <c r="F138" s="3"/>
    </row>
    <row r="139" spans="1:6" x14ac:dyDescent="0.3">
      <c r="A139"/>
      <c r="D139" s="3"/>
      <c r="E139" s="3"/>
      <c r="F139" s="3"/>
    </row>
    <row r="140" spans="1:6" x14ac:dyDescent="0.3">
      <c r="A140"/>
      <c r="D140" s="3"/>
      <c r="E140" s="3"/>
      <c r="F140" s="3"/>
    </row>
    <row r="141" spans="1:6" x14ac:dyDescent="0.3">
      <c r="A141"/>
      <c r="D141" s="3"/>
      <c r="E141" s="3"/>
      <c r="F141" s="3"/>
    </row>
    <row r="142" spans="1:6" x14ac:dyDescent="0.3">
      <c r="A142"/>
      <c r="D142" s="3"/>
      <c r="E142" s="3"/>
      <c r="F142" s="3"/>
    </row>
    <row r="143" spans="1:6" x14ac:dyDescent="0.3">
      <c r="A143"/>
      <c r="D143" s="3"/>
      <c r="E143" s="3"/>
      <c r="F143" s="3"/>
    </row>
    <row r="144" spans="1:6" x14ac:dyDescent="0.3">
      <c r="A144"/>
      <c r="D144" s="3"/>
      <c r="E144" s="3"/>
      <c r="F144" s="3"/>
    </row>
    <row r="145" spans="1:6" x14ac:dyDescent="0.3">
      <c r="A145"/>
      <c r="D145" s="3"/>
      <c r="E145" s="3"/>
      <c r="F145" s="3"/>
    </row>
    <row r="146" spans="1:6" x14ac:dyDescent="0.3">
      <c r="A146"/>
      <c r="D146" s="3"/>
      <c r="E146" s="3"/>
      <c r="F146" s="3"/>
    </row>
    <row r="147" spans="1:6" x14ac:dyDescent="0.3">
      <c r="A147"/>
      <c r="D147" s="3"/>
      <c r="E147" s="3"/>
      <c r="F147" s="3"/>
    </row>
    <row r="148" spans="1:6" x14ac:dyDescent="0.3">
      <c r="A148"/>
      <c r="D148" s="3"/>
      <c r="E148" s="3"/>
      <c r="F148" s="3"/>
    </row>
    <row r="149" spans="1:6" x14ac:dyDescent="0.3">
      <c r="A149"/>
      <c r="D149" s="3"/>
      <c r="E149" s="3"/>
      <c r="F149" s="3"/>
    </row>
    <row r="150" spans="1:6" x14ac:dyDescent="0.3">
      <c r="A150"/>
      <c r="D150" s="3"/>
      <c r="E150" s="3"/>
      <c r="F150" s="3"/>
    </row>
    <row r="151" spans="1:6" x14ac:dyDescent="0.3">
      <c r="A151"/>
      <c r="D151" s="3"/>
      <c r="E151" s="3"/>
      <c r="F151" s="3"/>
    </row>
    <row r="152" spans="1:6" x14ac:dyDescent="0.3">
      <c r="A152"/>
      <c r="D152" s="3"/>
      <c r="E152" s="3"/>
      <c r="F152" s="3"/>
    </row>
    <row r="153" spans="1:6" x14ac:dyDescent="0.3">
      <c r="A153"/>
      <c r="D153" s="3"/>
      <c r="E153" s="3"/>
      <c r="F153" s="3"/>
    </row>
    <row r="154" spans="1:6" x14ac:dyDescent="0.3">
      <c r="A154"/>
      <c r="D154" s="3"/>
      <c r="E154" s="3"/>
      <c r="F154" s="3"/>
    </row>
    <row r="155" spans="1:6" x14ac:dyDescent="0.3">
      <c r="A155"/>
      <c r="D155" s="3"/>
      <c r="E155" s="3"/>
      <c r="F155" s="3"/>
    </row>
    <row r="156" spans="1:6" x14ac:dyDescent="0.3">
      <c r="A156"/>
      <c r="D156" s="3"/>
      <c r="E156" s="3"/>
      <c r="F156" s="3"/>
    </row>
    <row r="157" spans="1:6" x14ac:dyDescent="0.3">
      <c r="A157"/>
      <c r="D157" s="3"/>
      <c r="E157" s="3"/>
      <c r="F157" s="3"/>
    </row>
    <row r="158" spans="1:6" x14ac:dyDescent="0.3">
      <c r="A158"/>
      <c r="D158" s="3"/>
      <c r="E158" s="3"/>
      <c r="F158" s="3"/>
    </row>
    <row r="159" spans="1:6" x14ac:dyDescent="0.3">
      <c r="A159"/>
      <c r="D159" s="3"/>
      <c r="E159" s="3"/>
      <c r="F159" s="3"/>
    </row>
    <row r="160" spans="1:6" x14ac:dyDescent="0.3">
      <c r="A160"/>
      <c r="D160" s="3"/>
      <c r="E160" s="3"/>
      <c r="F160" s="3"/>
    </row>
    <row r="161" spans="1:6" x14ac:dyDescent="0.3">
      <c r="A161"/>
      <c r="D161" s="3"/>
      <c r="E161" s="3"/>
      <c r="F161" s="3"/>
    </row>
    <row r="162" spans="1:6" x14ac:dyDescent="0.3">
      <c r="A162"/>
      <c r="D162" s="3"/>
      <c r="E162" s="3"/>
      <c r="F162" s="3"/>
    </row>
    <row r="163" spans="1:6" x14ac:dyDescent="0.3">
      <c r="A163"/>
      <c r="D163" s="3"/>
      <c r="E163" s="3"/>
      <c r="F163" s="3"/>
    </row>
    <row r="164" spans="1:6" x14ac:dyDescent="0.3">
      <c r="A164"/>
      <c r="D164" s="3"/>
      <c r="E164" s="3"/>
      <c r="F164" s="3"/>
    </row>
    <row r="165" spans="1:6" x14ac:dyDescent="0.3">
      <c r="A165"/>
      <c r="D165" s="3"/>
      <c r="E165" s="3"/>
      <c r="F165" s="3"/>
    </row>
    <row r="166" spans="1:6" x14ac:dyDescent="0.3">
      <c r="A166"/>
      <c r="D166" s="3"/>
      <c r="E166" s="3"/>
      <c r="F166" s="3"/>
    </row>
    <row r="167" spans="1:6" x14ac:dyDescent="0.3">
      <c r="A167"/>
      <c r="D167" s="3"/>
      <c r="E167" s="3"/>
      <c r="F167" s="3"/>
    </row>
    <row r="168" spans="1:6" x14ac:dyDescent="0.3">
      <c r="A168"/>
      <c r="D168" s="3"/>
      <c r="E168" s="3"/>
      <c r="F168" s="3"/>
    </row>
    <row r="169" spans="1:6" x14ac:dyDescent="0.3">
      <c r="A169"/>
      <c r="D169" s="3"/>
      <c r="E169" s="3"/>
      <c r="F169" s="3"/>
    </row>
    <row r="170" spans="1:6" x14ac:dyDescent="0.3">
      <c r="A170"/>
      <c r="D170" s="3"/>
      <c r="E170" s="3"/>
      <c r="F170" s="3"/>
    </row>
    <row r="171" spans="1:6" x14ac:dyDescent="0.3">
      <c r="A171"/>
      <c r="D171" s="3"/>
      <c r="E171" s="3"/>
      <c r="F171" s="3"/>
    </row>
    <row r="172" spans="1:6" x14ac:dyDescent="0.3">
      <c r="A172"/>
      <c r="D172" s="3"/>
      <c r="E172" s="3"/>
      <c r="F172" s="3"/>
    </row>
    <row r="173" spans="1:6" x14ac:dyDescent="0.3">
      <c r="A173"/>
      <c r="D173" s="3"/>
      <c r="E173" s="3"/>
      <c r="F173" s="3"/>
    </row>
    <row r="174" spans="1:6" x14ac:dyDescent="0.3">
      <c r="A174"/>
      <c r="D174" s="3"/>
      <c r="E174" s="3"/>
      <c r="F174" s="3"/>
    </row>
    <row r="175" spans="1:6" x14ac:dyDescent="0.3">
      <c r="A175"/>
      <c r="D175" s="3"/>
      <c r="E175" s="3"/>
      <c r="F175" s="3"/>
    </row>
    <row r="176" spans="1:6" x14ac:dyDescent="0.3">
      <c r="A176"/>
      <c r="D176" s="3"/>
      <c r="E176" s="3"/>
      <c r="F176" s="3"/>
    </row>
    <row r="177" spans="1:6" x14ac:dyDescent="0.3">
      <c r="A177"/>
      <c r="D177" s="3"/>
      <c r="E177" s="3"/>
      <c r="F177" s="3"/>
    </row>
    <row r="178" spans="1:6" x14ac:dyDescent="0.3">
      <c r="A178"/>
      <c r="D178" s="3"/>
      <c r="E178" s="3"/>
      <c r="F178" s="3"/>
    </row>
    <row r="179" spans="1:6" x14ac:dyDescent="0.3">
      <c r="A179"/>
      <c r="D179" s="3"/>
      <c r="E179" s="3"/>
      <c r="F179" s="3"/>
    </row>
    <row r="180" spans="1:6" x14ac:dyDescent="0.3">
      <c r="A180"/>
      <c r="D180" s="3"/>
      <c r="E180" s="3"/>
      <c r="F180" s="3"/>
    </row>
    <row r="181" spans="1:6" x14ac:dyDescent="0.3">
      <c r="A181"/>
      <c r="D181" s="3"/>
      <c r="E181" s="3"/>
      <c r="F181" s="3"/>
    </row>
    <row r="182" spans="1:6" x14ac:dyDescent="0.3">
      <c r="A182"/>
      <c r="D182" s="3"/>
      <c r="E182" s="3"/>
      <c r="F182" s="3"/>
    </row>
    <row r="183" spans="1:6" x14ac:dyDescent="0.3">
      <c r="A183"/>
      <c r="D183" s="3"/>
      <c r="E183" s="3"/>
      <c r="F183" s="3"/>
    </row>
    <row r="184" spans="1:6" x14ac:dyDescent="0.3">
      <c r="A184"/>
      <c r="D184" s="3"/>
      <c r="E184" s="3"/>
      <c r="F184" s="3"/>
    </row>
    <row r="185" spans="1:6" x14ac:dyDescent="0.3">
      <c r="A185"/>
      <c r="D185" s="3"/>
      <c r="E185" s="3"/>
      <c r="F185" s="3"/>
    </row>
    <row r="186" spans="1:6" x14ac:dyDescent="0.3">
      <c r="A186"/>
      <c r="D186" s="3"/>
      <c r="E186" s="3"/>
      <c r="F186" s="3"/>
    </row>
    <row r="187" spans="1:6" x14ac:dyDescent="0.3">
      <c r="A187"/>
      <c r="D187" s="3"/>
      <c r="E187" s="3"/>
      <c r="F187" s="3"/>
    </row>
    <row r="188" spans="1:6" x14ac:dyDescent="0.3">
      <c r="A188"/>
      <c r="D188" s="3"/>
      <c r="E188" s="3"/>
      <c r="F188" s="3"/>
    </row>
    <row r="189" spans="1:6" x14ac:dyDescent="0.3">
      <c r="A189"/>
      <c r="D189" s="3"/>
      <c r="E189" s="3"/>
      <c r="F189" s="3"/>
    </row>
    <row r="190" spans="1:6" x14ac:dyDescent="0.3">
      <c r="A190"/>
      <c r="D190" s="3"/>
      <c r="E190" s="3"/>
      <c r="F190" s="3"/>
    </row>
    <row r="191" spans="1:6" x14ac:dyDescent="0.3">
      <c r="A191"/>
      <c r="D191" s="3"/>
      <c r="E191" s="3"/>
      <c r="F191" s="3"/>
    </row>
    <row r="192" spans="1:6" x14ac:dyDescent="0.3">
      <c r="A192"/>
      <c r="D192" s="3"/>
      <c r="E192" s="3"/>
      <c r="F192" s="3"/>
    </row>
    <row r="193" spans="1:6" x14ac:dyDescent="0.3">
      <c r="A193"/>
      <c r="D193" s="3"/>
      <c r="E193" s="3"/>
      <c r="F193" s="3"/>
    </row>
    <row r="194" spans="1:6" x14ac:dyDescent="0.3">
      <c r="A194"/>
      <c r="D194" s="3"/>
      <c r="E194" s="3"/>
      <c r="F194" s="3"/>
    </row>
    <row r="195" spans="1:6" x14ac:dyDescent="0.3">
      <c r="A195"/>
      <c r="D195" s="3"/>
      <c r="E195" s="3"/>
      <c r="F195" s="3"/>
    </row>
    <row r="196" spans="1:6" x14ac:dyDescent="0.3">
      <c r="A196"/>
      <c r="D196" s="3"/>
      <c r="E196" s="3"/>
      <c r="F196" s="3"/>
    </row>
    <row r="197" spans="1:6" x14ac:dyDescent="0.3">
      <c r="A197"/>
      <c r="D197" s="3"/>
      <c r="E197" s="3"/>
      <c r="F197" s="3"/>
    </row>
    <row r="198" spans="1:6" x14ac:dyDescent="0.3">
      <c r="A198"/>
      <c r="D198" s="3"/>
      <c r="E198" s="3"/>
      <c r="F198" s="3"/>
    </row>
    <row r="199" spans="1:6" x14ac:dyDescent="0.3">
      <c r="A199"/>
      <c r="D199" s="3"/>
      <c r="E199" s="3"/>
      <c r="F199" s="3"/>
    </row>
    <row r="200" spans="1:6" x14ac:dyDescent="0.3">
      <c r="A200"/>
      <c r="D200" s="3"/>
      <c r="E200" s="3"/>
      <c r="F200" s="3"/>
    </row>
    <row r="201" spans="1:6" x14ac:dyDescent="0.3">
      <c r="A201"/>
      <c r="D201" s="3"/>
      <c r="E201" s="3"/>
      <c r="F201" s="3"/>
    </row>
    <row r="202" spans="1:6" x14ac:dyDescent="0.3">
      <c r="A202"/>
      <c r="D202" s="3"/>
      <c r="E202" s="3"/>
      <c r="F202" s="3"/>
    </row>
    <row r="203" spans="1:6" x14ac:dyDescent="0.3">
      <c r="A203"/>
      <c r="D203" s="3"/>
      <c r="E203" s="3"/>
      <c r="F203" s="3"/>
    </row>
    <row r="204" spans="1:6" x14ac:dyDescent="0.3">
      <c r="A204"/>
      <c r="D204" s="3"/>
      <c r="E204" s="3"/>
      <c r="F204" s="3"/>
    </row>
    <row r="205" spans="1:6" x14ac:dyDescent="0.3">
      <c r="A205"/>
      <c r="D205" s="3"/>
      <c r="E205" s="3"/>
      <c r="F205" s="3"/>
    </row>
    <row r="206" spans="1:6" x14ac:dyDescent="0.3">
      <c r="A206"/>
      <c r="D206" s="3"/>
      <c r="E206" s="3"/>
      <c r="F206" s="3"/>
    </row>
    <row r="207" spans="1:6" x14ac:dyDescent="0.3">
      <c r="A207"/>
      <c r="D207" s="3"/>
      <c r="E207" s="3"/>
      <c r="F207" s="3"/>
    </row>
    <row r="208" spans="1:6" x14ac:dyDescent="0.3">
      <c r="A208"/>
      <c r="D208" s="3"/>
      <c r="E208" s="3"/>
      <c r="F208" s="3"/>
    </row>
    <row r="209" spans="1:6" x14ac:dyDescent="0.3">
      <c r="A209"/>
      <c r="D209" s="3"/>
      <c r="E209" s="3"/>
      <c r="F209" s="3"/>
    </row>
    <row r="210" spans="1:6" x14ac:dyDescent="0.3">
      <c r="A210"/>
      <c r="D210" s="3"/>
      <c r="E210" s="3"/>
      <c r="F210" s="3"/>
    </row>
    <row r="211" spans="1:6" x14ac:dyDescent="0.3">
      <c r="A211"/>
      <c r="D211" s="3"/>
      <c r="E211" s="3"/>
      <c r="F211" s="3"/>
    </row>
    <row r="212" spans="1:6" x14ac:dyDescent="0.3">
      <c r="A212"/>
      <c r="D212" s="3"/>
      <c r="E212" s="3"/>
      <c r="F212" s="3"/>
    </row>
    <row r="213" spans="1:6" x14ac:dyDescent="0.3">
      <c r="A213"/>
      <c r="D213" s="3"/>
      <c r="E213" s="3"/>
      <c r="F213" s="3"/>
    </row>
    <row r="214" spans="1:6" x14ac:dyDescent="0.3">
      <c r="A214"/>
      <c r="D214" s="3"/>
      <c r="E214" s="3"/>
      <c r="F214" s="3"/>
    </row>
    <row r="215" spans="1:6" x14ac:dyDescent="0.3">
      <c r="A215"/>
      <c r="D215" s="3"/>
      <c r="E215" s="3"/>
      <c r="F215" s="3"/>
    </row>
    <row r="216" spans="1:6" x14ac:dyDescent="0.3">
      <c r="A216"/>
      <c r="D216" s="3"/>
      <c r="E216" s="3"/>
      <c r="F216" s="3"/>
    </row>
    <row r="217" spans="1:6" x14ac:dyDescent="0.3">
      <c r="A217"/>
      <c r="D217" s="3"/>
      <c r="E217" s="3"/>
      <c r="F217" s="3"/>
    </row>
    <row r="218" spans="1:6" x14ac:dyDescent="0.3">
      <c r="A218"/>
      <c r="D218" s="3"/>
      <c r="E218" s="3"/>
      <c r="F218" s="3"/>
    </row>
    <row r="219" spans="1:6" x14ac:dyDescent="0.3">
      <c r="A219"/>
      <c r="D219" s="3"/>
      <c r="E219" s="3"/>
      <c r="F219" s="3"/>
    </row>
    <row r="220" spans="1:6" x14ac:dyDescent="0.3">
      <c r="A220"/>
      <c r="D220" s="3"/>
      <c r="E220" s="3"/>
      <c r="F220" s="3"/>
    </row>
    <row r="221" spans="1:6" x14ac:dyDescent="0.3">
      <c r="A221"/>
      <c r="D221" s="3"/>
      <c r="E221" s="3"/>
      <c r="F221" s="3"/>
    </row>
    <row r="222" spans="1:6" x14ac:dyDescent="0.3">
      <c r="A222"/>
      <c r="D222" s="3"/>
      <c r="E222" s="3"/>
      <c r="F222" s="3"/>
    </row>
    <row r="223" spans="1:6" x14ac:dyDescent="0.3">
      <c r="A223"/>
      <c r="D223" s="3"/>
      <c r="E223" s="3"/>
      <c r="F223" s="3"/>
    </row>
    <row r="224" spans="1:6" x14ac:dyDescent="0.3">
      <c r="A224"/>
      <c r="D224" s="3"/>
      <c r="E224" s="3"/>
      <c r="F224" s="3"/>
    </row>
    <row r="225" spans="1:6" x14ac:dyDescent="0.3">
      <c r="A225"/>
      <c r="D225" s="3"/>
      <c r="E225" s="3"/>
      <c r="F225" s="3"/>
    </row>
    <row r="226" spans="1:6" x14ac:dyDescent="0.3">
      <c r="A226"/>
      <c r="D226" s="3"/>
      <c r="E226" s="3"/>
      <c r="F226" s="3"/>
    </row>
    <row r="227" spans="1:6" x14ac:dyDescent="0.3">
      <c r="A227"/>
      <c r="D227" s="3"/>
      <c r="E227" s="3"/>
      <c r="F227" s="3"/>
    </row>
    <row r="228" spans="1:6" x14ac:dyDescent="0.3">
      <c r="A228"/>
      <c r="D228" s="3"/>
      <c r="E228" s="3"/>
      <c r="F228" s="3"/>
    </row>
    <row r="229" spans="1:6" x14ac:dyDescent="0.3">
      <c r="A229"/>
      <c r="D229" s="3"/>
      <c r="E229" s="3"/>
      <c r="F229" s="3"/>
    </row>
    <row r="230" spans="1:6" x14ac:dyDescent="0.3">
      <c r="A230"/>
      <c r="D230" s="3"/>
      <c r="E230" s="3"/>
      <c r="F230" s="3"/>
    </row>
    <row r="231" spans="1:6" x14ac:dyDescent="0.3">
      <c r="A231"/>
      <c r="D231" s="3"/>
      <c r="E231" s="3"/>
      <c r="F231" s="3"/>
    </row>
    <row r="232" spans="1:6" x14ac:dyDescent="0.3">
      <c r="A232"/>
      <c r="D232" s="3"/>
      <c r="E232" s="3"/>
      <c r="F232" s="3"/>
    </row>
    <row r="233" spans="1:6" x14ac:dyDescent="0.3">
      <c r="A233"/>
      <c r="D233" s="3"/>
      <c r="E233" s="3"/>
      <c r="F233" s="3"/>
    </row>
    <row r="234" spans="1:6" x14ac:dyDescent="0.3">
      <c r="A234"/>
      <c r="D234" s="3"/>
      <c r="E234" s="3"/>
      <c r="F234" s="3"/>
    </row>
    <row r="235" spans="1:6" x14ac:dyDescent="0.3">
      <c r="A235"/>
      <c r="D235" s="3"/>
      <c r="E235" s="3"/>
      <c r="F235" s="3"/>
    </row>
    <row r="236" spans="1:6" x14ac:dyDescent="0.3">
      <c r="A236"/>
      <c r="D236" s="3"/>
      <c r="E236" s="3"/>
      <c r="F236" s="3"/>
    </row>
    <row r="237" spans="1:6" x14ac:dyDescent="0.3">
      <c r="A237"/>
      <c r="D237" s="3"/>
      <c r="E237" s="3"/>
      <c r="F237" s="3"/>
    </row>
    <row r="238" spans="1:6" x14ac:dyDescent="0.3">
      <c r="A238"/>
      <c r="D238" s="3"/>
      <c r="E238" s="3"/>
      <c r="F238" s="3"/>
    </row>
    <row r="239" spans="1:6" x14ac:dyDescent="0.3">
      <c r="A239"/>
      <c r="D239" s="3"/>
      <c r="E239" s="3"/>
      <c r="F239" s="3"/>
    </row>
    <row r="240" spans="1:6" x14ac:dyDescent="0.3">
      <c r="A240"/>
      <c r="D240" s="3"/>
      <c r="E240" s="3"/>
      <c r="F240" s="3"/>
    </row>
    <row r="241" spans="1:6" x14ac:dyDescent="0.3">
      <c r="A241"/>
      <c r="D241" s="3"/>
      <c r="E241" s="3"/>
      <c r="F241" s="3"/>
    </row>
    <row r="242" spans="1:6" x14ac:dyDescent="0.3">
      <c r="A242"/>
      <c r="D242" s="3"/>
      <c r="E242" s="3"/>
      <c r="F242" s="3"/>
    </row>
    <row r="243" spans="1:6" x14ac:dyDescent="0.3">
      <c r="A243"/>
      <c r="D243" s="3"/>
      <c r="E243" s="3"/>
      <c r="F243" s="3"/>
    </row>
    <row r="244" spans="1:6" x14ac:dyDescent="0.3">
      <c r="A244"/>
      <c r="D244" s="3"/>
      <c r="E244" s="3"/>
      <c r="F244" s="3"/>
    </row>
    <row r="245" spans="1:6" x14ac:dyDescent="0.3">
      <c r="A245"/>
      <c r="D245" s="3"/>
      <c r="E245" s="3"/>
      <c r="F245" s="3"/>
    </row>
    <row r="246" spans="1:6" x14ac:dyDescent="0.3">
      <c r="A246"/>
      <c r="D246" s="3"/>
      <c r="E246" s="3"/>
      <c r="F246" s="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8" ma:contentTypeDescription="Utwórz nowy dokument." ma:contentTypeScope="" ma:versionID="8795b3871a4ded53a804a6fa72c30ea7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101a942ff4163969c8f132f63bc181bc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Props1.xml><?xml version="1.0" encoding="utf-8"?>
<ds:datastoreItem xmlns:ds="http://schemas.openxmlformats.org/officeDocument/2006/customXml" ds:itemID="{683F9049-6D38-4C8E-B34F-5A0232302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FF61D-8D1B-4ECF-9102-6937EB67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95CADC-B3A5-4C68-80A8-ABCB2A314F95}">
  <ds:schemaRefs>
    <ds:schemaRef ds:uri="http://schemas.microsoft.com/office/2006/metadata/properties"/>
    <ds:schemaRef ds:uri="http://schemas.microsoft.com/office/infopath/2007/PartnerControls"/>
    <ds:schemaRef ds:uri="d4f64a22-a125-4b7a-afce-4a30c86a8f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 naborów wniosków</vt:lpstr>
      <vt:lpstr>Monitoring</vt:lpstr>
      <vt:lpstr>lista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Marczak Sylwia</cp:lastModifiedBy>
  <cp:revision/>
  <cp:lastPrinted>2024-09-19T05:20:36Z</cp:lastPrinted>
  <dcterms:created xsi:type="dcterms:W3CDTF">2023-02-28T07:53:56Z</dcterms:created>
  <dcterms:modified xsi:type="dcterms:W3CDTF">2024-09-26T11:39:30Z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